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0115" windowHeight="7230"/>
  </bookViews>
  <sheets>
    <sheet name="Тарифи на ТЕ (2)" sheetId="1" r:id="rId1"/>
    <sheet name="ГВП  (2)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wrn2" localSheetId="1" hidden="1">{#N/A,#N/A,FALSE,"9PS0"}</definedName>
    <definedName name="___wrn2" hidden="1">{#N/A,#N/A,FALSE,"9PS0"}</definedName>
    <definedName name="__wrn2" localSheetId="1" hidden="1">{#N/A,#N/A,FALSE,"9PS0"}</definedName>
    <definedName name="__wrn2" hidden="1">{#N/A,#N/A,FALSE,"9PS0"}</definedName>
    <definedName name="_wrn2" localSheetId="1" hidden="1">{#N/A,#N/A,FALSE,"9PS0"}</definedName>
    <definedName name="_wrn2" hidden="1">{#N/A,#N/A,FALSE,"9PS0"}</definedName>
    <definedName name="_xlnm._FilterDatabase" hidden="1">[1]Філіали!$A$1:$E$1</definedName>
    <definedName name="aaa" localSheetId="1" hidden="1">{#N/A,#N/A,FALSE,"9PS0"}</definedName>
    <definedName name="aaa" hidden="1">{#N/A,#N/A,FALSE,"9PS0"}</definedName>
    <definedName name="ab" localSheetId="1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bbb" localSheetId="1" hidden="1">{#N/A,#N/A,FALSE,"9PS0"}</definedName>
    <definedName name="bbb" hidden="1">{#N/A,#N/A,FALSE,"9PS0"}</definedName>
    <definedName name="Button_21">"Ltke22_LTKE1_0798__3__Таблица"</definedName>
    <definedName name="HTML_CodePage" hidden="1">1251</definedName>
    <definedName name="HTML_Control" localSheetId="1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ii_contr" localSheetId="1" hidden="1">{"'таб 21'!$A$1:$U$24","'таб 21'!$A$1:$U$1"}</definedName>
    <definedName name="iii_contr" hidden="1">{"'таб 21'!$A$1:$U$24","'таб 21'!$A$1:$U$1"}</definedName>
    <definedName name="KBCN" localSheetId="1" hidden="1">{#N/A,#N/A,FALSE,"9PS0"}</definedName>
    <definedName name="KBCN" hidden="1">{#N/A,#N/A,FALSE,"9PS0"}</definedName>
    <definedName name="kot" localSheetId="1" hidden="1">{#N/A,#N/A,FALSE,"9PS0"}</definedName>
    <definedName name="kot" hidden="1">{#N/A,#N/A,FALSE,"9PS0"}</definedName>
    <definedName name="LastItem">[2]Лист1!$A$1</definedName>
    <definedName name="m" localSheetId="1" hidden="1">{"'таб 21'!$A$1:$U$24","'таб 21'!$A$1:$U$1"}</definedName>
    <definedName name="m" hidden="1">{"'таб 21'!$A$1:$U$24","'таб 21'!$A$1:$U$1"}</definedName>
    <definedName name="n" localSheetId="1" hidden="1">{"'таб 21'!$A$1:$U$24","'таб 21'!$A$1:$U$1"}</definedName>
    <definedName name="n" hidden="1">{"'таб 21'!$A$1:$U$24","'таб 21'!$A$1:$U$1"}</definedName>
    <definedName name="OMEL08" hidden="1">'[3]3 утв.'!$F$1:$H$65536,'[3]3 утв.'!$P$1:$AQ$65536</definedName>
    <definedName name="oxrtryd" localSheetId="1" hidden="1">{#N/A,#N/A,FALSE,"9PS0"}</definedName>
    <definedName name="oxrtryd" hidden="1">{#N/A,#N/A,FALSE,"9PS0"}</definedName>
    <definedName name="pitanie" localSheetId="1" hidden="1">{#N/A,#N/A,FALSE,"9PS0"}</definedName>
    <definedName name="pitanie" hidden="1">{#N/A,#N/A,FALSE,"9PS0"}</definedName>
    <definedName name="s" localSheetId="1" hidden="1">{#N/A,#N/A,FALSE,"9PS0"}</definedName>
    <definedName name="s" hidden="1">{#N/A,#N/A,FALSE,"9PS0"}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tt" localSheetId="1" hidden="1">{#N/A,#N/A,TRUE,"попередні"}</definedName>
    <definedName name="tt" hidden="1">{#N/A,#N/A,TRUE,"попередні"}</definedName>
    <definedName name="uu" localSheetId="1" hidden="1">{"'таб 21'!$A$1:$U$24","'таб 21'!$A$1:$U$1"}</definedName>
    <definedName name="uu" hidden="1">{"'таб 21'!$A$1:$U$24","'таб 21'!$A$1:$U$1"}</definedName>
    <definedName name="ver" localSheetId="1" hidden="1">{#N/A,#N/A,FALSE,"9PS0"}</definedName>
    <definedName name="ver" hidden="1">{#N/A,#N/A,FALSE,"9PS0"}</definedName>
    <definedName name="wer" localSheetId="1" hidden="1">{#N/A,#N/A,FALSE,"9PS0"}</definedName>
    <definedName name="wer" hidden="1">{#N/A,#N/A,FALSE,"9PS0"}</definedName>
    <definedName name="wrn.r1." localSheetId="1" hidden="1">{#N/A,#N/A,FALSE,"9PS0"}</definedName>
    <definedName name="wrn.r1." hidden="1">{#N/A,#N/A,FALSE,"9PS0"}</definedName>
    <definedName name="wrn.Виробництво._.11._.міс." localSheetId="1" hidden="1">{#N/A,#N/A,TRUE,"попередні"}</definedName>
    <definedName name="wrn.Виробництво._.11._.міс." hidden="1">{#N/A,#N/A,TRUE,"попередні"}</definedName>
    <definedName name="ww" localSheetId="1" hidden="1">{#N/A,#N/A,TRUE,"попередні"}</definedName>
    <definedName name="ww" hidden="1">{#N/A,#N/A,TRUE,"попередні"}</definedName>
    <definedName name="y" localSheetId="1" hidden="1">{"'таб 21'!$A$1:$U$24","'таб 21'!$A$1:$U$1"}</definedName>
    <definedName name="y" hidden="1">{"'таб 21'!$A$1:$U$24","'таб 21'!$A$1:$U$1"}</definedName>
    <definedName name="Z_2B9BA361_C094_11D4_BCAF_00C026C07CB6_.wvu.Cols" hidden="1">'[4]1'!$D$1:$F$65536,'[4]1'!$L$1:$AQ$65536</definedName>
    <definedName name="Z_2B9BA362_C094_11D4_BCAF_00C026C07CB6_.wvu.Cols" hidden="1">'[4]1 кв'!$C$1:$E$65536,'[4]1 кв'!$N$1:$AX$65536</definedName>
    <definedName name="Z_2B9BA363_C094_11D4_BCAF_00C026C07CB6_.wvu.Cols" hidden="1">'[4]10'!$F$1:$H$65536,'[4]10'!$P$1:$AR$65536</definedName>
    <definedName name="Z_2B9BA364_C094_11D4_BCAF_00C026C07CB6_.wvu.Cols" hidden="1">'[4]10 міс.'!$C$1:$E$65536,'[4]10 міс.'!$N$1:$AX$65536</definedName>
    <definedName name="Z_2B9BA365_C094_11D4_BCAF_00C026C07CB6_.wvu.Cols" hidden="1">'[4]11'!$F$1:$H$65536,'[4]11'!$P$1:$AR$65536</definedName>
    <definedName name="Z_2B9BA366_C094_11D4_BCAF_00C026C07CB6_.wvu.Cols" hidden="1">'[4]11 міс.'!$C$1:$E$65536,'[4]11 міс.'!$N$1:$AX$65536</definedName>
    <definedName name="Z_2B9BA367_C094_11D4_BCAF_00C026C07CB6_.wvu.Cols" hidden="1">'[4]12'!$F$1:$H$65536,'[4]12'!$P$1:$AR$65536</definedName>
    <definedName name="Z_2B9BA368_C094_11D4_BCAF_00C026C07CB6_.wvu.Cols" hidden="1">'[4]12 міс.'!$C$1:$E$65536,'[4]12 міс.'!$N$1:$AX$65536</definedName>
    <definedName name="Z_2B9BA369_C094_11D4_BCAF_00C026C07CB6_.wvu.Cols" hidden="1">'[4]1998'!$C$1:$E$65536,'[4]1998'!$I$1:$AC$65536</definedName>
    <definedName name="Z_2B9BA36A_C094_11D4_BCAF_00C026C07CB6_.wvu.Cols" hidden="1">'[4]1півр'!$C$1:$E$65536,'[4]1півр'!$N$1:$AX$65536</definedName>
    <definedName name="Z_2B9BA36B_C094_11D4_BCAF_00C026C07CB6_.wvu.Cols" hidden="1">'[4]2'!$F$1:$H$65536,'[4]2'!$P$1:$AQ$65536</definedName>
    <definedName name="Z_2B9BA36C_C094_11D4_BCAF_00C026C07CB6_.wvu.Cols" hidden="1">'[4]2 кв'!$C$1:$E$65536,'[4]2 кв'!$M$1:$AW$65536</definedName>
    <definedName name="Z_2B9BA36D_C094_11D4_BCAF_00C026C07CB6_.wvu.Cols" hidden="1">'[4]2 утв'!$F$1:$H$65536,'[4]2 утв'!$P$1:$AM$65536</definedName>
    <definedName name="Z_2B9BA36E_C094_11D4_BCAF_00C026C07CB6_.wvu.Cols" hidden="1">'[4]3 не сокр.'!$F$1:$H$65536,'[4]3 не сокр.'!$P$1:$AQ$65536</definedName>
    <definedName name="Z_2B9BA36F_C094_11D4_BCAF_00C026C07CB6_.wvu.Cols" hidden="1">'[4]3 тар.'!$C$1:$E$65536,'[4]3 тар.'!$I$1:$AO$65536</definedName>
    <definedName name="Z_2B9BA370_C094_11D4_BCAF_00C026C07CB6_.wvu.Cols" hidden="1">'[4]3 утв.'!$F$1:$H$65536,'[4]3 утв.'!$P$1:$AQ$65536</definedName>
    <definedName name="Z_2B9BA371_C094_11D4_BCAF_00C026C07CB6_.wvu.Cols" hidden="1">'[4]3кв'!$C$1:$E$65536,'[4]3кв'!$N$1:$AX$65536</definedName>
    <definedName name="Z_2B9BA372_C094_11D4_BCAF_00C026C07CB6_.wvu.Cols" hidden="1">'[4]3кв '!$C$1:$E$65536,'[4]3кв '!$I$1:$AA$65536</definedName>
    <definedName name="Z_2B9BA373_C094_11D4_BCAF_00C026C07CB6_.wvu.Cols" hidden="1">'[4]4 утв'!$F$1:$H$65536,'[4]4 утв'!$P$1:$AR$65536</definedName>
    <definedName name="Z_2B9BA374_C094_11D4_BCAF_00C026C07CB6_.wvu.Cols" hidden="1">'[4]5'!$F$1:$H$65536,'[4]5'!$P$1:$AR$65536</definedName>
    <definedName name="Z_2B9BA375_C094_11D4_BCAF_00C026C07CB6_.wvu.Cols" hidden="1">'[4]6'!$F$1:$H$65536,'[4]6'!$P$1:$AR$65536</definedName>
    <definedName name="Z_2B9BA376_C094_11D4_BCAF_00C026C07CB6_.wvu.Cols" hidden="1">'[4]7'!$F$1:$H$65536,'[4]7'!$P$1:$AR$65536</definedName>
    <definedName name="Z_2B9BA377_C094_11D4_BCAF_00C026C07CB6_.wvu.Cols" hidden="1">'[4]7 міс'!$C$1:$E$65536,'[4]7 міс'!$N$1:$AX$65536</definedName>
    <definedName name="Z_2B9BA378_C094_11D4_BCAF_00C026C07CB6_.wvu.Cols" hidden="1">'[4]8'!$F$1:$H$65536,'[4]8'!$P$1:$AR$65536</definedName>
    <definedName name="Z_2B9BA379_C094_11D4_BCAF_00C026C07CB6_.wvu.Cols" hidden="1">'[4]8 міс.'!$C$1:$E$65536,'[4]8 міс.'!$N$1:$AX$65536</definedName>
    <definedName name="Z_2B9BA37A_C094_11D4_BCAF_00C026C07CB6_.wvu.Cols" hidden="1">'[4]812'!$F$1:$H$65536,'[4]812'!$P$1:$AM$65536</definedName>
    <definedName name="Z_2B9BA37B_C094_11D4_BCAF_00C026C07CB6_.wvu.Cols" hidden="1">'[4]812 (2)'!$F$1:$H$65536,'[4]812 (2)'!$P$1:$AL$65536</definedName>
    <definedName name="Z_2B9BA37C_C094_11D4_BCAF_00C026C07CB6_.wvu.Cols" hidden="1">'[4]9'!$F$1:$H$65536,'[4]9'!$P$1:$AP$65536</definedName>
    <definedName name="Z_2B9BA37D_C094_11D4_BCAF_00C026C07CB6_.wvu.Cols" hidden="1">'[4]9 (2)'!$C$1:$E$65536,'[4]9 (2)'!$I$1:$AF$65536</definedName>
    <definedName name="Z_2B9BA37E_C094_11D4_BCAF_00C026C07CB6_.wvu.Cols" hidden="1">'[4]9 міс.'!$C$1:$E$65536,'[4]9 міс.'!$N$1:$AX$65536</definedName>
    <definedName name="Z_F5654560_D292_11D4_BCAF_00C026C07CB6_.wvu.Cols" hidden="1">'[4]0'!$C$1:$L$65536,'[4]0'!$P$1:$AI$65536</definedName>
    <definedName name="Z_F5654561_D292_11D4_BCAF_00C026C07CB6_.wvu.Cols" hidden="1">'[4]1'!$D$1:$F$65536,'[4]1'!$L$1:$AQ$65536</definedName>
    <definedName name="Z_F5654562_D292_11D4_BCAF_00C026C07CB6_.wvu.Cols" hidden="1">'[4]1 кв'!$C$1:$E$65536,'[4]1 кв'!$N$1:$AX$65536</definedName>
    <definedName name="Z_F5654563_D292_11D4_BCAF_00C026C07CB6_.wvu.Cols" hidden="1">'[4]10'!$F$1:$H$65536,'[4]10'!$P$1:$AR$65536</definedName>
    <definedName name="Z_F5654564_D292_11D4_BCAF_00C026C07CB6_.wvu.Cols" hidden="1">'[4]10 міс.'!$C$1:$E$65536,'[4]10 міс.'!$N$1:$AX$65536</definedName>
    <definedName name="Z_F5654565_D292_11D4_BCAF_00C026C07CB6_.wvu.Cols" hidden="1">'[4]11'!$F$1:$H$65536,'[4]11'!$P$1:$AR$65536</definedName>
    <definedName name="Z_F5654566_D292_11D4_BCAF_00C026C07CB6_.wvu.Cols" hidden="1">'[4]11 міс.'!$C$1:$E$65536,'[4]11 міс.'!$N$1:$AX$65536</definedName>
    <definedName name="Z_F5654567_D292_11D4_BCAF_00C026C07CB6_.wvu.Cols" hidden="1">'[4]12'!$F$1:$H$65536,'[4]12'!$P$1:$AR$65536</definedName>
    <definedName name="Z_F5654568_D292_11D4_BCAF_00C026C07CB6_.wvu.Cols" hidden="1">'[4]12 міс.'!$C$1:$E$65536,'[4]12 міс.'!$N$1:$AX$65536</definedName>
    <definedName name="Z_F5654569_D292_11D4_BCAF_00C026C07CB6_.wvu.Cols" hidden="1">'[4]1998'!$C$1:$E$65536,'[4]1998'!$I$1:$AC$65536</definedName>
    <definedName name="Z_F565456A_D292_11D4_BCAF_00C026C07CB6_.wvu.Cols" hidden="1">'[4]1півр'!$C$1:$E$65536,'[4]1півр'!$N$1:$AX$65536</definedName>
    <definedName name="Z_F565456B_D292_11D4_BCAF_00C026C07CB6_.wvu.Cols" hidden="1">'[4]2'!$F$1:$H$65536,'[4]2'!$P$1:$AQ$65536</definedName>
    <definedName name="Z_F565456C_D292_11D4_BCAF_00C026C07CB6_.wvu.Cols" hidden="1">'[4]2 кв'!$C$1:$E$65536,'[4]2 кв'!$M$1:$AW$65536</definedName>
    <definedName name="Z_F565456D_D292_11D4_BCAF_00C026C07CB6_.wvu.Cols" hidden="1">'[4]2 утв'!$F$1:$H$65536,'[4]2 утв'!$P$1:$AM$65536</definedName>
    <definedName name="Z_F565456E_D292_11D4_BCAF_00C026C07CB6_.wvu.Cols" hidden="1">'[4]3 не сокр.'!$F$1:$H$65536,'[4]3 не сокр.'!$P$1:$AQ$65536</definedName>
    <definedName name="Z_F565456F_D292_11D4_BCAF_00C026C07CB6_.wvu.Cols" hidden="1">'[4]3 тар.'!$C$1:$E$65536,'[4]3 тар.'!$I$1:$AO$65536</definedName>
    <definedName name="Z_F5654570_D292_11D4_BCAF_00C026C07CB6_.wvu.Cols" hidden="1">'[4]3 утв.'!$F$1:$H$65536,'[4]3 утв.'!$P$1:$AQ$65536</definedName>
    <definedName name="Z_F5654571_D292_11D4_BCAF_00C026C07CB6_.wvu.Cols" hidden="1">'[4]3кв'!$C$1:$E$65536,'[4]3кв'!$N$1:$AX$65536</definedName>
    <definedName name="Z_F5654572_D292_11D4_BCAF_00C026C07CB6_.wvu.Cols" hidden="1">'[4]3кв '!$C$1:$E$65536,'[4]3кв '!$I$1:$AA$65536</definedName>
    <definedName name="Z_F5654573_D292_11D4_BCAF_00C026C07CB6_.wvu.Cols" hidden="1">'[4]4 утв'!$F$1:$H$65536,'[4]4 утв'!$P$1:$AR$65536</definedName>
    <definedName name="Z_F5654574_D292_11D4_BCAF_00C026C07CB6_.wvu.Cols" hidden="1">'[4]5'!$F$1:$H$65536,'[4]5'!$P$1:$AR$65536</definedName>
    <definedName name="Z_F5654575_D292_11D4_BCAF_00C026C07CB6_.wvu.Cols" hidden="1">'[4]6'!$F$1:$H$65536,'[4]6'!$P$1:$AR$65536</definedName>
    <definedName name="Z_F5654576_D292_11D4_BCAF_00C026C07CB6_.wvu.Cols" hidden="1">'[4]7'!$F$1:$H$65536,'[4]7'!$P$1:$AR$65536</definedName>
    <definedName name="Z_F5654577_D292_11D4_BCAF_00C026C07CB6_.wvu.Cols" hidden="1">'[4]7 міс'!$C$1:$E$65536,'[4]7 міс'!$N$1:$AX$65536</definedName>
    <definedName name="Z_F5654578_D292_11D4_BCAF_00C026C07CB6_.wvu.Cols" hidden="1">'[4]8'!$F$1:$H$65536,'[4]8'!$P$1:$AR$65536</definedName>
    <definedName name="Z_F5654579_D292_11D4_BCAF_00C026C07CB6_.wvu.Cols" hidden="1">'[4]8 міс.'!$C$1:$E$65536,'[4]8 міс.'!$N$1:$AX$65536</definedName>
    <definedName name="Z_F565457A_D292_11D4_BCAF_00C026C07CB6_.wvu.Cols" hidden="1">'[4]812'!$F$1:$H$65536,'[4]812'!$P$1:$AM$65536</definedName>
    <definedName name="Z_F565457B_D292_11D4_BCAF_00C026C07CB6_.wvu.Cols" hidden="1">'[4]812 (2)'!$F$1:$H$65536,'[4]812 (2)'!$P$1:$AL$65536</definedName>
    <definedName name="Z_F565457C_D292_11D4_BCAF_00C026C07CB6_.wvu.Cols" hidden="1">'[4]9'!$F$1:$H$65536,'[4]9'!$P$1:$AP$65536</definedName>
    <definedName name="Z_F565457D_D292_11D4_BCAF_00C026C07CB6_.wvu.Cols" hidden="1">'[4]9 (2)'!$C$1:$E$65536,'[4]9 (2)'!$I$1:$AF$65536</definedName>
    <definedName name="Z_F565457E_D292_11D4_BCAF_00C026C07CB6_.wvu.Cols" hidden="1">'[4]9 міс.'!$C$1:$E$65536,'[4]9 міс.'!$N$1:$AX$65536</definedName>
    <definedName name="а" localSheetId="1" hidden="1">{"'таб 21'!$A$1:$U$24","'таб 21'!$A$1:$U$1"}</definedName>
    <definedName name="а" hidden="1">{"'таб 21'!$A$1:$U$24","'таб 21'!$A$1:$U$1"}</definedName>
    <definedName name="аа" localSheetId="1" hidden="1">{#N/A,#N/A,FALSE,"9PS0"}</definedName>
    <definedName name="аа" hidden="1">{#N/A,#N/A,FALSE,"9PS0"}</definedName>
    <definedName name="ам" localSheetId="1" hidden="1">{"'таб 21'!$A$1:$U$24","'таб 21'!$A$1:$U$1"}</definedName>
    <definedName name="ам" hidden="1">{"'таб 21'!$A$1:$U$24","'таб 21'!$A$1:$U$1"}</definedName>
    <definedName name="АХО" localSheetId="1" hidden="1">{#N/A,#N/A,TRUE,"попередні"}</definedName>
    <definedName name="АХО" hidden="1">{#N/A,#N/A,TRUE,"попередні"}</definedName>
    <definedName name="в" localSheetId="1" hidden="1">{#N/A,#N/A,FALSE,"9PS0"}</definedName>
    <definedName name="в" hidden="1">{#N/A,#N/A,FALSE,"9PS0"}</definedName>
    <definedName name="вааа" localSheetId="1" hidden="1">{#N/A,#N/A,FALSE,"9PS0"}</definedName>
    <definedName name="вааа" hidden="1">{#N/A,#N/A,FALSE,"9PS0"}</definedName>
    <definedName name="витрати" hidden="1">'[4]1998'!$C$1:$E$65536,'[4]1998'!$I$1:$AC$65536</definedName>
    <definedName name="вііф" localSheetId="1" hidden="1">{#N/A,#N/A,FALSE,"9PS0"}</definedName>
    <definedName name="вііф" hidden="1">{#N/A,#N/A,FALSE,"9PS0"}</definedName>
    <definedName name="вода2" localSheetId="1" hidden="1">{#N/A,#N/A,FALSE,"9PS0"}</definedName>
    <definedName name="вода2" hidden="1">{#N/A,#N/A,FALSE,"9PS0"}</definedName>
    <definedName name="Встав">[5]Коригування!$W$9:$W$2131,[5]Коригування!$AF$9:$AH$2131,[5]Коригування!$AM$9:$AM$2131,[5]Коригування!$AO$9:$AO$2131,[5]Коригування!$AQ$9:$AQ$2131,[5]Коригування!$AU$9:$AU$2131,[5]Коригування!$AW$9:$AW$2131+[5]Коригування!$AY$9:$BD$2131,[5]Коригування!$BG$9:$BP$2131,[5]Коригування!$BY$9:$BY$2131,[5]Коригування!$CF$9:$CG$2131,[5]Коригування!$CJ$9:$CO$2131,[5]Коригування!$CX$9:$CY$2131,[5]Коригування!$DB$9:$DC$2131,[5]Коригування!$DJ$9:$DJ$2131,[5]Коригування!$DL$9:$DM$2131,[5]Коригування!$DO$9:$DO$2131,[5]Коригування!$DT$9:$DT$2131</definedName>
    <definedName name="выс" localSheetId="1" hidden="1">{"'таб 21'!$A$1:$U$24","'таб 21'!$A$1:$U$1"}</definedName>
    <definedName name="выс" hidden="1">{"'таб 21'!$A$1:$U$24","'таб 21'!$A$1:$U$1"}</definedName>
    <definedName name="ГК" localSheetId="1" hidden="1">{#N/A,#N/A,TRUE,"попередні"}</definedName>
    <definedName name="ГК" hidden="1">{#N/A,#N/A,TRUE,"попередні"}</definedName>
    <definedName name="ГРУДЕНЬ" localSheetId="1" hidden="1">{#N/A,#N/A,FALSE,"9PS0"}</definedName>
    <definedName name="ГРУДЕНЬ" hidden="1">{#N/A,#N/A,FALSE,"9PS0"}</definedName>
    <definedName name="гшб" localSheetId="1" hidden="1">{"'таб 21'!$A$1:$U$24","'таб 21'!$A$1:$U$1"}</definedName>
    <definedName name="гшб" hidden="1">{"'таб 21'!$A$1:$U$24","'таб 21'!$A$1:$U$1"}</definedName>
    <definedName name="декабрь" localSheetId="1" hidden="1">{#N/A,#N/A,FALSE,"9PS0"}</definedName>
    <definedName name="декабрь" hidden="1">{#N/A,#N/A,FALSE,"9PS0"}</definedName>
    <definedName name="ДепЕЗ" localSheetId="1" hidden="1">{#N/A,#N/A,FALSE,"9PS0"}</definedName>
    <definedName name="ДепЕЗ" hidden="1">{#N/A,#N/A,FALSE,"9PS0"}</definedName>
    <definedName name="Ен_елект" localSheetId="1" hidden="1">{#N/A,#N/A,FALSE,"9PS0"}</definedName>
    <definedName name="Ен_елект" hidden="1">{#N/A,#N/A,FALSE,"9PS0"}</definedName>
    <definedName name="Ен_теплова" localSheetId="1" hidden="1">{#N/A,#N/A,FALSE,"9PS0"}</definedName>
    <definedName name="Ен_теплова" hidden="1">{#N/A,#N/A,FALSE,"9PS0"}</definedName>
    <definedName name="еп" localSheetId="1" hidden="1">{#N/A,#N/A,TRUE,"попередні"}</definedName>
    <definedName name="еп" hidden="1">{#N/A,#N/A,TRUE,"попередні"}</definedName>
    <definedName name="жовтень" localSheetId="1" hidden="1">{#N/A,#N/A,FALSE,"9PS0"}</definedName>
    <definedName name="жовтень" hidden="1">{#N/A,#N/A,FALSE,"9PS0"}</definedName>
    <definedName name="ипаи" localSheetId="1" hidden="1">{#N/A,#N/A,TRUE,"попередні"}</definedName>
    <definedName name="ипаи" hidden="1">{#N/A,#N/A,TRUE,"попередні"}</definedName>
    <definedName name="ів" localSheetId="1" hidden="1">{#N/A,#N/A,FALSE,"9PS0"}</definedName>
    <definedName name="ів" hidden="1">{#N/A,#N/A,FALSE,"9PS0"}</definedName>
    <definedName name="Катя" localSheetId="1" hidden="1">{#N/A,#N/A,TRUE,"попередні"}</definedName>
    <definedName name="Катя" hidden="1">{#N/A,#N/A,TRUE,"попередні"}</definedName>
    <definedName name="кккк" localSheetId="1" hidden="1">{#N/A,#N/A,FALSE,"9PS0"}</definedName>
    <definedName name="кккк" hidden="1">{#N/A,#N/A,FALSE,"9PS0"}</definedName>
    <definedName name="ку" localSheetId="1" hidden="1">{"'таб 21'!$A$1:$U$24","'таб 21'!$A$1:$U$1"}</definedName>
    <definedName name="ку" hidden="1">{"'таб 21'!$A$1:$U$24","'таб 21'!$A$1:$U$1"}</definedName>
    <definedName name="липень" localSheetId="1" hidden="1">{#N/A,#N/A,FALSE,"9PS0"}</definedName>
    <definedName name="липень" hidden="1">{#N/A,#N/A,FALSE,"9PS0"}</definedName>
    <definedName name="ллллл" localSheetId="1" hidden="1">{#N/A,#N/A,FALSE,"9PS0"}</definedName>
    <definedName name="ллллл" hidden="1">{#N/A,#N/A,FALSE,"9PS0"}</definedName>
    <definedName name="ло" localSheetId="1" hidden="1">{#N/A,#N/A,FALSE,"9PS0"}</definedName>
    <definedName name="ло" hidden="1">{#N/A,#N/A,FALSE,"9PS0"}</definedName>
    <definedName name="лорн" localSheetId="1" hidden="1">{#N/A,#N/A,TRUE,"попередні"}</definedName>
    <definedName name="лорн" hidden="1">{#N/A,#N/A,TRUE,"попередні"}</definedName>
    <definedName name="лютий" localSheetId="1" hidden="1">{#N/A,#N/A,FALSE,"9PS0"}</definedName>
    <definedName name="лютий" hidden="1">{#N/A,#N/A,FALSE,"9PS0"}</definedName>
    <definedName name="Мой_лист">MID(CELL("имяфайла",[6]База!$E$1),SEARCH("[",CELL("имяфайла",[6]База!$E$1)),256)&amp;"!"</definedName>
    <definedName name="мцм" localSheetId="1" hidden="1">{"'таб 21'!$A$1:$U$24","'таб 21'!$A$1:$U$1"}</definedName>
    <definedName name="мцм" hidden="1">{"'таб 21'!$A$1:$U$24","'таб 21'!$A$1:$U$1"}</definedName>
    <definedName name="нгн" localSheetId="1" hidden="1">{#N/A,#N/A,TRUE,"попередні"}</definedName>
    <definedName name="нгн" hidden="1">{#N/A,#N/A,TRUE,"попередні"}</definedName>
    <definedName name="нь" localSheetId="1" hidden="1">{#N/A,#N/A,TRUE,"попередні"}</definedName>
    <definedName name="нь" hidden="1">{#N/A,#N/A,TRUE,"попередні"}</definedName>
    <definedName name="о" hidden="1">'[7]7 міс'!$C$1:$E$65536,'[7]7 міс'!$N$1:$AX$65536</definedName>
    <definedName name="_xlnm.Print_Area" localSheetId="1">'ГВП  (2)'!$C$31:$F$55</definedName>
    <definedName name="_xlnm.Print_Area" localSheetId="0">'Тарифи на ТЕ (2)'!$B$387:$F$441</definedName>
    <definedName name="облікГВП">[8]скрыть!$G$4:$G$6</definedName>
    <definedName name="оор" hidden="1">'[9]3 не сокр.'!$F$1:$H$65536,'[9]3 не сокр.'!$P$1:$AQ$65536</definedName>
    <definedName name="осн_2" localSheetId="1" hidden="1">{#N/A,#N/A,FALSE,"9PS0"}</definedName>
    <definedName name="осн_2" hidden="1">{#N/A,#N/A,FALSE,"9PS0"}</definedName>
    <definedName name="пеи" localSheetId="1" hidden="1">{"'таб 21'!$A$1:$U$24","'таб 21'!$A$1:$U$1"}</definedName>
    <definedName name="пеи" hidden="1">{"'таб 21'!$A$1:$U$24","'таб 21'!$A$1:$U$1"}</definedName>
    <definedName name="план" localSheetId="1" hidden="1">{#N/A,#N/A,FALSE,"9PS0"}</definedName>
    <definedName name="план" hidden="1">{#N/A,#N/A,FALSE,"9PS0"}</definedName>
    <definedName name="пмпрм" localSheetId="1" hidden="1">{"'таб 21'!$A$1:$U$24","'таб 21'!$A$1:$U$1"}</definedName>
    <definedName name="пмпрм" hidden="1">{"'таб 21'!$A$1:$U$24","'таб 21'!$A$1:$U$1"}</definedName>
    <definedName name="поверхи">[10]скрыть!$B$4:$B$9</definedName>
    <definedName name="пороп" localSheetId="1" hidden="1">{"'таб 21'!$A$1:$U$24","'таб 21'!$A$1:$U$1"}</definedName>
    <definedName name="пороп" hidden="1">{"'таб 21'!$A$1:$U$24","'таб 21'!$A$1:$U$1"}</definedName>
    <definedName name="прочие" localSheetId="1" hidden="1">{"'таб 21'!$A$1:$U$24","'таб 21'!$A$1:$U$1"}</definedName>
    <definedName name="прочие" hidden="1">{"'таб 21'!$A$1:$U$24","'таб 21'!$A$1:$U$1"}</definedName>
    <definedName name="рік" localSheetId="1" hidden="1">{#N/A,#N/A,FALSE,"9PS0"}</definedName>
    <definedName name="рік" hidden="1">{#N/A,#N/A,FALSE,"9PS0"}</definedName>
    <definedName name="рое" localSheetId="1" hidden="1">{#N/A,#N/A,FALSE,"9PS0"}</definedName>
    <definedName name="рое" hidden="1">{#N/A,#N/A,FALSE,"9PS0"}</definedName>
    <definedName name="рол" localSheetId="1" hidden="1">{"'таб 21'!$A$1:$U$24","'таб 21'!$A$1:$U$1"}</definedName>
    <definedName name="рол" hidden="1">{"'таб 21'!$A$1:$U$24","'таб 21'!$A$1:$U$1"}</definedName>
    <definedName name="СЕРПЕНЬ" localSheetId="1" hidden="1">{#N/A,#N/A,FALSE,"9PS0"}</definedName>
    <definedName name="СЕРПЕНЬ" hidden="1">{#N/A,#N/A,FALSE,"9PS0"}</definedName>
    <definedName name="січен07" localSheetId="1" hidden="1">{#N/A,#N/A,FALSE,"9PS0"}</definedName>
    <definedName name="січен07" hidden="1">{#N/A,#N/A,FALSE,"9PS0"}</definedName>
    <definedName name="січень" localSheetId="1" hidden="1">{#N/A,#N/A,FALSE,"9PS0"}</definedName>
    <definedName name="січень" hidden="1">{#N/A,#N/A,FALSE,"9PS0"}</definedName>
    <definedName name="січень07." localSheetId="1" hidden="1">{#N/A,#N/A,FALSE,"9PS0"}</definedName>
    <definedName name="січень07." hidden="1">{#N/A,#N/A,FALSE,"9PS0"}</definedName>
    <definedName name="соцдирекция" localSheetId="1" hidden="1">{#N/A,#N/A,TRUE,"попередні"}</definedName>
    <definedName name="соцдирекция" hidden="1">{#N/A,#N/A,TRUE,"попередні"}</definedName>
    <definedName name="тар" localSheetId="1" hidden="1">{#N/A,#N/A,FALSE,"9PS0"}</definedName>
    <definedName name="тар" hidden="1">{#N/A,#N/A,FALSE,"9PS0"}</definedName>
    <definedName name="Теплов" localSheetId="1" hidden="1">{#N/A,#N/A,FALSE,"9PS0"}</definedName>
    <definedName name="Теплов" hidden="1">{#N/A,#N/A,FALSE,"9PS0"}</definedName>
    <definedName name="тр" localSheetId="1" hidden="1">{"'таб 21'!$A$1:$U$24","'таб 21'!$A$1:$U$1"}</definedName>
    <definedName name="тр" hidden="1">{"'таб 21'!$A$1:$U$24","'таб 21'!$A$1:$U$1"}</definedName>
    <definedName name="травень" localSheetId="1" hidden="1">{#N/A,#N/A,FALSE,"9PS0"}</definedName>
    <definedName name="травень" hidden="1">{#N/A,#N/A,FALSE,"9PS0"}</definedName>
    <definedName name="філіали2" localSheetId="1" hidden="1">{#N/A,#N/A,FALSE,"9PS0"}</definedName>
    <definedName name="філіали2" hidden="1">{#N/A,#N/A,FALSE,"9PS0"}</definedName>
    <definedName name="філії">[11]Лист1!$C$4:$C$11</definedName>
    <definedName name="цуа" localSheetId="1" hidden="1">{#N/A,#N/A,TRUE,"попередні"}</definedName>
    <definedName name="цуа" hidden="1">{#N/A,#N/A,TRUE,"попередні"}</definedName>
    <definedName name="чер" localSheetId="1" hidden="1">{#N/A,#N/A,FALSE,"9PS0"}</definedName>
    <definedName name="чер" hidden="1">{#N/A,#N/A,FALSE,"9PS0"}</definedName>
    <definedName name="червень05" localSheetId="1" hidden="1">{#N/A,#N/A,FALSE,"9PS0"}</definedName>
    <definedName name="червень05" hidden="1">{#N/A,#N/A,FALSE,"9PS0"}</definedName>
    <definedName name="чцй" localSheetId="1" hidden="1">{"'таб 21'!$A$1:$U$24","'таб 21'!$A$1:$U$1"}</definedName>
    <definedName name="чцй" hidden="1">{"'таб 21'!$A$1:$U$24","'таб 21'!$A$1:$U$1"}</definedName>
    <definedName name="югш" localSheetId="1" hidden="1">{#N/A,#N/A,TRUE,"попередні"}</definedName>
    <definedName name="югш" hidden="1">{#N/A,#N/A,TRUE,"попередні"}</definedName>
  </definedNames>
  <calcPr calcId="124519"/>
</workbook>
</file>

<file path=xl/calcChain.xml><?xml version="1.0" encoding="utf-8"?>
<calcChain xmlns="http://schemas.openxmlformats.org/spreadsheetml/2006/main">
  <c r="G171" i="1"/>
  <c r="G172" s="1"/>
  <c r="G173" s="1"/>
  <c r="F47" i="2"/>
  <c r="E47"/>
  <c r="F46"/>
  <c r="E46"/>
  <c r="F45"/>
  <c r="E45"/>
  <c r="F44"/>
  <c r="E44"/>
  <c r="F43"/>
  <c r="F48" s="1"/>
  <c r="E43"/>
  <c r="E48" s="1"/>
  <c r="F19"/>
  <c r="E19"/>
  <c r="F18"/>
  <c r="E18"/>
  <c r="F17"/>
  <c r="E17"/>
  <c r="F16"/>
  <c r="E16"/>
  <c r="F15"/>
  <c r="F20" s="1"/>
  <c r="E15"/>
  <c r="E20" s="1"/>
  <c r="F429" i="1"/>
  <c r="E429"/>
  <c r="F372"/>
  <c r="E372"/>
  <c r="D316"/>
  <c r="D429" s="1"/>
  <c r="F259"/>
  <c r="F375" s="1"/>
  <c r="D256"/>
  <c r="D372" s="1"/>
  <c r="F254"/>
  <c r="F370" s="1"/>
  <c r="E254"/>
  <c r="E370" s="1"/>
  <c r="F253"/>
  <c r="F369" s="1"/>
  <c r="E253"/>
  <c r="E369" s="1"/>
  <c r="D369" s="1"/>
  <c r="F252"/>
  <c r="F368" s="1"/>
  <c r="E252"/>
  <c r="F203"/>
  <c r="E203"/>
  <c r="D203"/>
  <c r="F201"/>
  <c r="E201"/>
  <c r="D201"/>
  <c r="F200"/>
  <c r="E200"/>
  <c r="D200"/>
  <c r="F199"/>
  <c r="E199"/>
  <c r="D199"/>
  <c r="D198" s="1"/>
  <c r="F198"/>
  <c r="E198"/>
  <c r="F196"/>
  <c r="E196"/>
  <c r="D196"/>
  <c r="F195"/>
  <c r="E195"/>
  <c r="D195"/>
  <c r="F194"/>
  <c r="E194"/>
  <c r="D194"/>
  <c r="F193"/>
  <c r="E193"/>
  <c r="D193"/>
  <c r="F192"/>
  <c r="E192"/>
  <c r="D192"/>
  <c r="F191"/>
  <c r="E191"/>
  <c r="D191"/>
  <c r="F190"/>
  <c r="F189" s="1"/>
  <c r="E190"/>
  <c r="D190"/>
  <c r="E189"/>
  <c r="F188"/>
  <c r="E188"/>
  <c r="D188"/>
  <c r="F187"/>
  <c r="E187"/>
  <c r="D187"/>
  <c r="F186"/>
  <c r="F185" s="1"/>
  <c r="E186"/>
  <c r="D186"/>
  <c r="E185"/>
  <c r="F184"/>
  <c r="E184"/>
  <c r="D184"/>
  <c r="F183"/>
  <c r="E183"/>
  <c r="D183"/>
  <c r="F182"/>
  <c r="E182"/>
  <c r="D182"/>
  <c r="F181"/>
  <c r="E181"/>
  <c r="F180"/>
  <c r="E180"/>
  <c r="D180"/>
  <c r="F179"/>
  <c r="E179"/>
  <c r="D179"/>
  <c r="F178"/>
  <c r="E178"/>
  <c r="D178"/>
  <c r="F177"/>
  <c r="E177"/>
  <c r="D177"/>
  <c r="F176"/>
  <c r="E176"/>
  <c r="D176"/>
  <c r="F175"/>
  <c r="E175"/>
  <c r="D175"/>
  <c r="F174"/>
  <c r="F204" s="1"/>
  <c r="E174"/>
  <c r="E202" s="1"/>
  <c r="E171" s="1"/>
  <c r="G152"/>
  <c r="F152"/>
  <c r="F324" s="1"/>
  <c r="E152"/>
  <c r="E324" s="1"/>
  <c r="D152"/>
  <c r="F150"/>
  <c r="E150"/>
  <c r="D150"/>
  <c r="F149"/>
  <c r="E149"/>
  <c r="D149"/>
  <c r="F148"/>
  <c r="E148"/>
  <c r="D148"/>
  <c r="D147" s="1"/>
  <c r="F147"/>
  <c r="E147"/>
  <c r="F145"/>
  <c r="E145"/>
  <c r="D145"/>
  <c r="F144"/>
  <c r="E144"/>
  <c r="D144"/>
  <c r="F143"/>
  <c r="E143"/>
  <c r="D143"/>
  <c r="F142"/>
  <c r="F312" s="1"/>
  <c r="E142"/>
  <c r="E312" s="1"/>
  <c r="D142"/>
  <c r="D312" s="1"/>
  <c r="F141"/>
  <c r="E141"/>
  <c r="D141"/>
  <c r="A141"/>
  <c r="A142" s="1"/>
  <c r="F140"/>
  <c r="E140"/>
  <c r="D140"/>
  <c r="F139"/>
  <c r="E139"/>
  <c r="D139"/>
  <c r="F138"/>
  <c r="E138"/>
  <c r="D138"/>
  <c r="F137"/>
  <c r="E137"/>
  <c r="D137"/>
  <c r="F136"/>
  <c r="E136"/>
  <c r="F135"/>
  <c r="E135"/>
  <c r="D135"/>
  <c r="F134"/>
  <c r="E134"/>
  <c r="D134"/>
  <c r="F133"/>
  <c r="E133"/>
  <c r="D133"/>
  <c r="D132" s="1"/>
  <c r="F132"/>
  <c r="E132"/>
  <c r="F131"/>
  <c r="E131"/>
  <c r="D131"/>
  <c r="F130"/>
  <c r="E130"/>
  <c r="D130"/>
  <c r="F129"/>
  <c r="E129"/>
  <c r="D129"/>
  <c r="F128"/>
  <c r="E128"/>
  <c r="F127"/>
  <c r="E127"/>
  <c r="D127"/>
  <c r="F126"/>
  <c r="E126"/>
  <c r="D126"/>
  <c r="F125"/>
  <c r="E125"/>
  <c r="D125"/>
  <c r="F124"/>
  <c r="E124"/>
  <c r="D124"/>
  <c r="F123"/>
  <c r="E123"/>
  <c r="D123"/>
  <c r="F122"/>
  <c r="F153" s="1"/>
  <c r="E122"/>
  <c r="E153" s="1"/>
  <c r="F101"/>
  <c r="F264" s="1"/>
  <c r="E101"/>
  <c r="E264" s="1"/>
  <c r="D101"/>
  <c r="F99"/>
  <c r="E99"/>
  <c r="D99"/>
  <c r="F98"/>
  <c r="E98"/>
  <c r="D98"/>
  <c r="F97"/>
  <c r="F96" s="1"/>
  <c r="E97"/>
  <c r="D97"/>
  <c r="E96"/>
  <c r="F93"/>
  <c r="E93"/>
  <c r="D93"/>
  <c r="F92"/>
  <c r="E92"/>
  <c r="D92"/>
  <c r="F91"/>
  <c r="E91"/>
  <c r="D91"/>
  <c r="F90"/>
  <c r="E90"/>
  <c r="D90"/>
  <c r="F89"/>
  <c r="E89"/>
  <c r="D89"/>
  <c r="F88"/>
  <c r="E88"/>
  <c r="D88"/>
  <c r="F87"/>
  <c r="E87"/>
  <c r="D87"/>
  <c r="D86" s="1"/>
  <c r="F86"/>
  <c r="E86"/>
  <c r="F85"/>
  <c r="E85"/>
  <c r="D85"/>
  <c r="F84"/>
  <c r="E84"/>
  <c r="D84"/>
  <c r="F83"/>
  <c r="E83"/>
  <c r="D83"/>
  <c r="F82"/>
  <c r="E82"/>
  <c r="F81"/>
  <c r="E81"/>
  <c r="D81"/>
  <c r="F80"/>
  <c r="E80"/>
  <c r="D80"/>
  <c r="F79"/>
  <c r="E79"/>
  <c r="D79"/>
  <c r="D78" s="1"/>
  <c r="F78"/>
  <c r="E78"/>
  <c r="F77"/>
  <c r="E77"/>
  <c r="D77"/>
  <c r="F76"/>
  <c r="E76"/>
  <c r="D76"/>
  <c r="F75"/>
  <c r="E75"/>
  <c r="D75"/>
  <c r="F74"/>
  <c r="E74"/>
  <c r="D74"/>
  <c r="F73"/>
  <c r="E73"/>
  <c r="F72"/>
  <c r="F102" s="1"/>
  <c r="E72"/>
  <c r="E100" s="1"/>
  <c r="E68" s="1"/>
  <c r="E226" s="1"/>
  <c r="F48"/>
  <c r="E48"/>
  <c r="D48" s="1"/>
  <c r="F46"/>
  <c r="E46"/>
  <c r="D46"/>
  <c r="F45"/>
  <c r="E45"/>
  <c r="D45"/>
  <c r="F44"/>
  <c r="E44"/>
  <c r="D44"/>
  <c r="F43"/>
  <c r="E43"/>
  <c r="D43"/>
  <c r="F41"/>
  <c r="F255" s="1"/>
  <c r="F371" s="1"/>
  <c r="E41"/>
  <c r="E255" s="1"/>
  <c r="D41"/>
  <c r="F40"/>
  <c r="E40"/>
  <c r="D40"/>
  <c r="D254" s="1"/>
  <c r="F39"/>
  <c r="E39"/>
  <c r="D39"/>
  <c r="D253" s="1"/>
  <c r="F38"/>
  <c r="E38"/>
  <c r="D38"/>
  <c r="D252" s="1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F49" s="1"/>
  <c r="E19"/>
  <c r="E47" s="1"/>
  <c r="E15" s="1"/>
  <c r="D19"/>
  <c r="D47" s="1"/>
  <c r="D15" s="1"/>
  <c r="A16"/>
  <c r="G15"/>
  <c r="A15"/>
  <c r="D82" l="1"/>
  <c r="D96"/>
  <c r="D128"/>
  <c r="D136"/>
  <c r="D181"/>
  <c r="D174" s="1"/>
  <c r="D185"/>
  <c r="D122"/>
  <c r="D259"/>
  <c r="D73"/>
  <c r="D72" s="1"/>
  <c r="D100" s="1"/>
  <c r="A119"/>
  <c r="A123" s="1"/>
  <c r="F22" i="2"/>
  <c r="F21"/>
  <c r="F50"/>
  <c r="F49"/>
  <c r="E22"/>
  <c r="E21"/>
  <c r="E50"/>
  <c r="E49"/>
  <c r="F380" i="1"/>
  <c r="F260"/>
  <c r="F376" s="1"/>
  <c r="F258"/>
  <c r="F231"/>
  <c r="E437"/>
  <c r="D324"/>
  <c r="E319"/>
  <c r="E320"/>
  <c r="E318"/>
  <c r="E425"/>
  <c r="F315"/>
  <c r="F428" s="1"/>
  <c r="E311"/>
  <c r="E284"/>
  <c r="E225"/>
  <c r="E371"/>
  <c r="D255"/>
  <c r="D264"/>
  <c r="D233" s="1"/>
  <c r="E259"/>
  <c r="E375" s="1"/>
  <c r="D375" s="1"/>
  <c r="E231"/>
  <c r="E380"/>
  <c r="D380" s="1"/>
  <c r="E260"/>
  <c r="E258"/>
  <c r="E155"/>
  <c r="E156" s="1"/>
  <c r="F320"/>
  <c r="F433" s="1"/>
  <c r="F318"/>
  <c r="F437"/>
  <c r="F319"/>
  <c r="F432" s="1"/>
  <c r="E286"/>
  <c r="E227"/>
  <c r="D232"/>
  <c r="D234"/>
  <c r="D238"/>
  <c r="D242"/>
  <c r="D246"/>
  <c r="D314"/>
  <c r="F425"/>
  <c r="D250"/>
  <c r="E315"/>
  <c r="F47"/>
  <c r="F15" s="1"/>
  <c r="E49"/>
  <c r="D68"/>
  <c r="F100"/>
  <c r="F68" s="1"/>
  <c r="F226" s="1"/>
  <c r="E102"/>
  <c r="E119"/>
  <c r="E285" s="1"/>
  <c r="E151"/>
  <c r="D189"/>
  <c r="F202"/>
  <c r="F171" s="1"/>
  <c r="E204"/>
  <c r="F311"/>
  <c r="F424" s="1"/>
  <c r="F313"/>
  <c r="F426" s="1"/>
  <c r="E314"/>
  <c r="E427" s="1"/>
  <c r="E368"/>
  <c r="D368" s="1"/>
  <c r="F151"/>
  <c r="F119" s="1"/>
  <c r="F285" s="1"/>
  <c r="E313"/>
  <c r="E426" s="1"/>
  <c r="D426" s="1"/>
  <c r="F314"/>
  <c r="F427" s="1"/>
  <c r="D151" l="1"/>
  <c r="D119" s="1"/>
  <c r="F227"/>
  <c r="F286"/>
  <c r="E233"/>
  <c r="F233"/>
  <c r="F225"/>
  <c r="F224" s="1"/>
  <c r="F343" s="1"/>
  <c r="F284"/>
  <c r="F283" s="1"/>
  <c r="F399" s="1"/>
  <c r="F250"/>
  <c r="E250"/>
  <c r="F242"/>
  <c r="E242"/>
  <c r="F234"/>
  <c r="E234"/>
  <c r="F431"/>
  <c r="F430" s="1"/>
  <c r="F317"/>
  <c r="D258"/>
  <c r="E257"/>
  <c r="E374"/>
  <c r="D371"/>
  <c r="E424"/>
  <c r="D424" s="1"/>
  <c r="D311"/>
  <c r="E431"/>
  <c r="D318"/>
  <c r="E317"/>
  <c r="E432"/>
  <c r="D432" s="1"/>
  <c r="D319"/>
  <c r="D370" s="1"/>
  <c r="F374"/>
  <c r="F373" s="1"/>
  <c r="F257"/>
  <c r="E224"/>
  <c r="E343" s="1"/>
  <c r="D251"/>
  <c r="D425"/>
  <c r="D247"/>
  <c r="D243"/>
  <c r="D239"/>
  <c r="D235"/>
  <c r="A171"/>
  <c r="D437"/>
  <c r="E428"/>
  <c r="D315"/>
  <c r="D428" s="1"/>
  <c r="F246"/>
  <c r="E246"/>
  <c r="F238"/>
  <c r="E238"/>
  <c r="F232"/>
  <c r="E232"/>
  <c r="D260"/>
  <c r="E376"/>
  <c r="D376" s="1"/>
  <c r="E347"/>
  <c r="E290"/>
  <c r="D231"/>
  <c r="D230" s="1"/>
  <c r="E230"/>
  <c r="E433"/>
  <c r="D433" s="1"/>
  <c r="D320"/>
  <c r="F290"/>
  <c r="F230"/>
  <c r="F347"/>
  <c r="D427"/>
  <c r="E283"/>
  <c r="E399" s="1"/>
  <c r="D249"/>
  <c r="D202"/>
  <c r="D171" s="1"/>
  <c r="D313"/>
  <c r="D245"/>
  <c r="D241"/>
  <c r="D237"/>
  <c r="E237" l="1"/>
  <c r="D236"/>
  <c r="F237"/>
  <c r="E245"/>
  <c r="D244"/>
  <c r="F245"/>
  <c r="F403"/>
  <c r="D347"/>
  <c r="F348"/>
  <c r="F291"/>
  <c r="F404" s="1"/>
  <c r="F354"/>
  <c r="F297"/>
  <c r="F410" s="1"/>
  <c r="F362"/>
  <c r="F305"/>
  <c r="F418" s="1"/>
  <c r="E239"/>
  <c r="F239"/>
  <c r="E247"/>
  <c r="F247"/>
  <c r="E251"/>
  <c r="F251"/>
  <c r="D431"/>
  <c r="D430" s="1"/>
  <c r="E430"/>
  <c r="E293"/>
  <c r="E350"/>
  <c r="E301"/>
  <c r="E358"/>
  <c r="E309"/>
  <c r="E366"/>
  <c r="E349"/>
  <c r="E292"/>
  <c r="E241"/>
  <c r="D240"/>
  <c r="D229" s="1"/>
  <c r="F241"/>
  <c r="E249"/>
  <c r="D248"/>
  <c r="F249"/>
  <c r="E403"/>
  <c r="D290"/>
  <c r="E291"/>
  <c r="E348"/>
  <c r="D348" s="1"/>
  <c r="E297"/>
  <c r="E354"/>
  <c r="D354" s="1"/>
  <c r="E305"/>
  <c r="E362"/>
  <c r="D362" s="1"/>
  <c r="E235"/>
  <c r="F235"/>
  <c r="E243"/>
  <c r="F243"/>
  <c r="D374"/>
  <c r="D373" s="1"/>
  <c r="E373"/>
  <c r="F350"/>
  <c r="F293"/>
  <c r="F406" s="1"/>
  <c r="F358"/>
  <c r="F301"/>
  <c r="F414" s="1"/>
  <c r="F366"/>
  <c r="F309"/>
  <c r="F422" s="1"/>
  <c r="F292"/>
  <c r="F405" s="1"/>
  <c r="F349"/>
  <c r="F346" s="1"/>
  <c r="D317"/>
  <c r="A266"/>
  <c r="D257"/>
  <c r="E289" l="1"/>
  <c r="D261"/>
  <c r="D262" s="1"/>
  <c r="D263" s="1"/>
  <c r="F302"/>
  <c r="F415" s="1"/>
  <c r="F359"/>
  <c r="F294"/>
  <c r="F407" s="1"/>
  <c r="F351"/>
  <c r="D403"/>
  <c r="F300"/>
  <c r="F240"/>
  <c r="F357"/>
  <c r="F356" s="1"/>
  <c r="E357"/>
  <c r="E300"/>
  <c r="E240"/>
  <c r="E422"/>
  <c r="D422" s="1"/>
  <c r="D309"/>
  <c r="E414"/>
  <c r="D414" s="1"/>
  <c r="D301"/>
  <c r="E406"/>
  <c r="D406" s="1"/>
  <c r="D293"/>
  <c r="E367"/>
  <c r="E310"/>
  <c r="E363"/>
  <c r="E306"/>
  <c r="E355"/>
  <c r="E298"/>
  <c r="F296"/>
  <c r="F236"/>
  <c r="F229" s="1"/>
  <c r="F353"/>
  <c r="E353"/>
  <c r="E296"/>
  <c r="E236"/>
  <c r="E229" s="1"/>
  <c r="D349"/>
  <c r="F402"/>
  <c r="E359"/>
  <c r="D359" s="1"/>
  <c r="E302"/>
  <c r="E351"/>
  <c r="D351" s="1"/>
  <c r="E294"/>
  <c r="E418"/>
  <c r="D418" s="1"/>
  <c r="D305"/>
  <c r="E410"/>
  <c r="D410" s="1"/>
  <c r="D297"/>
  <c r="E404"/>
  <c r="D404" s="1"/>
  <c r="D291"/>
  <c r="F308"/>
  <c r="F248"/>
  <c r="F365"/>
  <c r="E365"/>
  <c r="E308"/>
  <c r="E248"/>
  <c r="E405"/>
  <c r="D405" s="1"/>
  <c r="D292"/>
  <c r="F310"/>
  <c r="F423" s="1"/>
  <c r="F367"/>
  <c r="F306"/>
  <c r="F419" s="1"/>
  <c r="F363"/>
  <c r="F298"/>
  <c r="F411" s="1"/>
  <c r="F355"/>
  <c r="F304"/>
  <c r="F244"/>
  <c r="F361"/>
  <c r="E361"/>
  <c r="E304"/>
  <c r="E244"/>
  <c r="D289"/>
  <c r="D366"/>
  <c r="D358"/>
  <c r="D350"/>
  <c r="E346"/>
  <c r="F289"/>
  <c r="D346" l="1"/>
  <c r="D361"/>
  <c r="E360"/>
  <c r="D365"/>
  <c r="E364"/>
  <c r="E407"/>
  <c r="D407" s="1"/>
  <c r="D294"/>
  <c r="E415"/>
  <c r="D415" s="1"/>
  <c r="D302"/>
  <c r="E409"/>
  <c r="D296"/>
  <c r="E295"/>
  <c r="F409"/>
  <c r="F408" s="1"/>
  <c r="F295"/>
  <c r="E413"/>
  <c r="D300"/>
  <c r="D299" s="1"/>
  <c r="E299"/>
  <c r="F413"/>
  <c r="F412" s="1"/>
  <c r="F401" s="1"/>
  <c r="F299"/>
  <c r="F288" s="1"/>
  <c r="F352"/>
  <c r="F345" s="1"/>
  <c r="D355"/>
  <c r="D363"/>
  <c r="D367"/>
  <c r="D402"/>
  <c r="E288"/>
  <c r="E417"/>
  <c r="D304"/>
  <c r="E303"/>
  <c r="F417"/>
  <c r="F416" s="1"/>
  <c r="F303"/>
  <c r="E421"/>
  <c r="D308"/>
  <c r="E307"/>
  <c r="F421"/>
  <c r="F420" s="1"/>
  <c r="F307"/>
  <c r="D353"/>
  <c r="E352"/>
  <c r="E411"/>
  <c r="D411" s="1"/>
  <c r="D298"/>
  <c r="E419"/>
  <c r="D419" s="1"/>
  <c r="D306"/>
  <c r="E423"/>
  <c r="D423" s="1"/>
  <c r="D310"/>
  <c r="D357"/>
  <c r="D356" s="1"/>
  <c r="E356"/>
  <c r="F360"/>
  <c r="F364"/>
  <c r="E261"/>
  <c r="F261"/>
  <c r="E402"/>
  <c r="E345" l="1"/>
  <c r="E377" s="1"/>
  <c r="D352"/>
  <c r="D345" s="1"/>
  <c r="D307"/>
  <c r="F377"/>
  <c r="F378" s="1"/>
  <c r="F379" s="1"/>
  <c r="F434"/>
  <c r="F435" s="1"/>
  <c r="E262"/>
  <c r="E263" s="1"/>
  <c r="E378"/>
  <c r="E379" s="1"/>
  <c r="D417"/>
  <c r="D416" s="1"/>
  <c r="E416"/>
  <c r="D409"/>
  <c r="D408" s="1"/>
  <c r="E408"/>
  <c r="F321"/>
  <c r="D364"/>
  <c r="D360"/>
  <c r="F262"/>
  <c r="F263" s="1"/>
  <c r="D421"/>
  <c r="D420" s="1"/>
  <c r="E420"/>
  <c r="D413"/>
  <c r="D412" s="1"/>
  <c r="D401" s="1"/>
  <c r="D434" s="1"/>
  <c r="E412"/>
  <c r="D303"/>
  <c r="E321"/>
  <c r="D295"/>
  <c r="D288" s="1"/>
  <c r="D321" s="1"/>
  <c r="D377" l="1"/>
  <c r="F436"/>
  <c r="E401"/>
  <c r="E434" s="1"/>
  <c r="E435" s="1"/>
  <c r="E436" s="1"/>
  <c r="D435"/>
  <c r="D436" s="1"/>
  <c r="D378"/>
  <c r="D379" s="1"/>
  <c r="D322"/>
  <c r="D323" s="1"/>
  <c r="E322"/>
  <c r="E323" s="1"/>
  <c r="F322"/>
  <c r="F323" s="1"/>
</calcChain>
</file>

<file path=xl/sharedStrings.xml><?xml version="1.0" encoding="utf-8"?>
<sst xmlns="http://schemas.openxmlformats.org/spreadsheetml/2006/main" count="728" uniqueCount="164">
  <si>
    <t>Додаток   1</t>
  </si>
  <si>
    <t>до рішення виконавчого комітету</t>
  </si>
  <si>
    <t>Ніжинської міської ради</t>
  </si>
  <si>
    <t>Структура тарифів на виробництво теплової енергії Товариства з обмеженою відповідальністю "НіжинТеплоМережі"</t>
  </si>
  <si>
    <t>№ пп</t>
  </si>
  <si>
    <t>Найменування показників</t>
  </si>
  <si>
    <t>Сумарні тарифні витрати, тис.грн. на рік</t>
  </si>
  <si>
    <t>Тарифи, грн/Гкал</t>
  </si>
  <si>
    <t>для потреб бюджетних установ</t>
  </si>
  <si>
    <t>для потреб інших споживачів (крім населення)</t>
  </si>
  <si>
    <t>І</t>
  </si>
  <si>
    <t>Тарифи на виробництво теплової енергії</t>
  </si>
  <si>
    <t>(п.1+п.2+п.3+п.4+п.5+п.6+п7)</t>
  </si>
  <si>
    <t>ІІ</t>
  </si>
  <si>
    <t>Структура тарифів на виробництво теплової енергії</t>
  </si>
  <si>
    <t>Виробнича собівартість, у т.ч.</t>
  </si>
  <si>
    <t>1.1</t>
  </si>
  <si>
    <t>прямі матеріальні витрати, у т.ч.</t>
  </si>
  <si>
    <t>1.1.1</t>
  </si>
  <si>
    <t xml:space="preserve">витрати на паливо </t>
  </si>
  <si>
    <t>1.1.2</t>
  </si>
  <si>
    <t>витрати на електроенергію</t>
  </si>
  <si>
    <t>1.1.3</t>
  </si>
  <si>
    <t>вода  для технологічних потреб та водовідведення</t>
  </si>
  <si>
    <t>1.1.4</t>
  </si>
  <si>
    <t>матеріали, запасні частини та інші матеріальні ресурси</t>
  </si>
  <si>
    <t>1.2</t>
  </si>
  <si>
    <t>прямі витрати на оплату праці </t>
  </si>
  <si>
    <t>1.3</t>
  </si>
  <si>
    <t>інші прямі витрати</t>
  </si>
  <si>
    <t>1.3.1.</t>
  </si>
  <si>
    <t>відрахування на соціальні заходи </t>
  </si>
  <si>
    <t>1.3.2</t>
  </si>
  <si>
    <t>амортизація</t>
  </si>
  <si>
    <t>1.3.3</t>
  </si>
  <si>
    <t xml:space="preserve">інші прямі витрати </t>
  </si>
  <si>
    <t>1.4</t>
  </si>
  <si>
    <t xml:space="preserve">загальновиробничі витрати, у т.ч.: </t>
  </si>
  <si>
    <t>1.4.1.</t>
  </si>
  <si>
    <t>1.4.2</t>
  </si>
  <si>
    <t>1.4.3</t>
  </si>
  <si>
    <t xml:space="preserve">інші витрати </t>
  </si>
  <si>
    <t>2</t>
  </si>
  <si>
    <t>Адміністративні витрати, у тому числі:  </t>
  </si>
  <si>
    <t>2.1</t>
  </si>
  <si>
    <t>2.2</t>
  </si>
  <si>
    <t>2.3</t>
  </si>
  <si>
    <t>3</t>
  </si>
  <si>
    <t>Інші операційні витрати*</t>
  </si>
  <si>
    <t>4</t>
  </si>
  <si>
    <t>Фінансові витрати</t>
  </si>
  <si>
    <t>5</t>
  </si>
  <si>
    <t>Витрати на відшкодування втрат</t>
  </si>
  <si>
    <t>6</t>
  </si>
  <si>
    <t>Коригування витрат</t>
  </si>
  <si>
    <t>7</t>
  </si>
  <si>
    <t>Перерахування вартості теплової енергії за опалювальний період 2020/2021 рр.</t>
  </si>
  <si>
    <t>8</t>
  </si>
  <si>
    <t>Розрахунковий прибуток, усього *, зокрема:</t>
  </si>
  <si>
    <t>8.1</t>
  </si>
  <si>
    <t>податок на прибуток</t>
  </si>
  <si>
    <t>8.2</t>
  </si>
  <si>
    <t>на розвиток виробництва (виробничі інвестиції)</t>
  </si>
  <si>
    <t>8.3</t>
  </si>
  <si>
    <t xml:space="preserve"> інше використання  прибутку </t>
  </si>
  <si>
    <t>9</t>
  </si>
  <si>
    <t>Податок на додану вартість</t>
  </si>
  <si>
    <t>10</t>
  </si>
  <si>
    <t>Відпуск теплової енергії з колекторів власних котелень, Гкал</t>
  </si>
  <si>
    <t>Т.в.о. директора ТОВ "НіжинТеплоМережі"</t>
  </si>
  <si>
    <t>Л.М.Ісаєнко</t>
  </si>
  <si>
    <t>Додаток  2</t>
  </si>
  <si>
    <t>Структура тарифів на транспортування  теплової енергії без урахування витрат на утримання  та ремонт ЦТП Товариства з обмеженою відповідальністю "НіжинТеплоМережі"</t>
  </si>
  <si>
    <t>Тарифи на транспортуання  теплової енергії без урахування витрат на обслуговування та ремонт ЦТП</t>
  </si>
  <si>
    <t>(п.1+п.2+п.3+п.4+п.5+п.6+п7+п.8)</t>
  </si>
  <si>
    <t>Структура тарифів на транспортування теплової енергії без урахування витрат на обслуговування та ремонт ЦТП</t>
  </si>
  <si>
    <t xml:space="preserve">Інші операційні витрати * </t>
  </si>
  <si>
    <t>Витрати на теплову енергію  для компенсації втрат власної теплової енергії  підприємства в теплових мережах,  усього.</t>
  </si>
  <si>
    <t>Розрахунковий прибуток*, усього,  зокрема:</t>
  </si>
  <si>
    <t>9.1</t>
  </si>
  <si>
    <t>9.2</t>
  </si>
  <si>
    <t>9.3</t>
  </si>
  <si>
    <t>11</t>
  </si>
  <si>
    <t>Обсяг реалізації теплової енергії власним споживачам, Гкал</t>
  </si>
  <si>
    <t>Додаток 3</t>
  </si>
  <si>
    <t>Структура тарифів на транспортування  теплової енергії з урахуванням витрат на утримання та ремонт ЦТП  Товариства з обмеженою відповідальністю "НіжинТеплоМережі"</t>
  </si>
  <si>
    <t>Тарифи на транспортуання  теплової енергії з урахування витрат на обслуговування та ремонт ЦТП</t>
  </si>
  <si>
    <t>Структура тарифів на транспортування теплової енергії  з урахування витрат на обслуговування та ремонт ЦТП</t>
  </si>
  <si>
    <t>Витрати на теплову енергію  для компенсації втрат власної теплової енергії ліцензіата в теплових мережах,  усього.</t>
  </si>
  <si>
    <t>Витрати на утримання та ремонт ЦТП</t>
  </si>
  <si>
    <t>10.1</t>
  </si>
  <si>
    <t>10.2</t>
  </si>
  <si>
    <t>10.3</t>
  </si>
  <si>
    <t>12</t>
  </si>
  <si>
    <t>Обсяг реалізації теплової енергії з ЦТП власним споживачам , Гкал</t>
  </si>
  <si>
    <t>Додаток 4</t>
  </si>
  <si>
    <t>Структура тарифів на постачання теплової енергії  Товариства з обмеженою відповідальністю "НіжинТеплоМережі"</t>
  </si>
  <si>
    <t>Тарифи на постачання  теплової енергії</t>
  </si>
  <si>
    <t>Структура тарифів на постачання теплової енергії</t>
  </si>
  <si>
    <t>Витрати  на збут, у тому числі:</t>
  </si>
  <si>
    <t>3.1</t>
  </si>
  <si>
    <t>витрати на оплату праці</t>
  </si>
  <si>
    <t>3.2</t>
  </si>
  <si>
    <t>відрахування на соціальні заходи</t>
  </si>
  <si>
    <t>3.3</t>
  </si>
  <si>
    <t>інші витрати*</t>
  </si>
  <si>
    <t xml:space="preserve">Інші  операційні витрати*  </t>
  </si>
  <si>
    <t>Додаток 5</t>
  </si>
  <si>
    <t>Структура тарифів на теплову енергію без урахування витрат на утримання та ремонт ЦТП Товариства з обмеженою відповідальністю "НіжинТеплоМережі"</t>
  </si>
  <si>
    <t>Витрати, тис.грн. на рік</t>
  </si>
  <si>
    <t>Структура тарифів на теплову енергію, грн./Гкал з ПДВ</t>
  </si>
  <si>
    <t>Тарифи на теплову енергію, у тому числі</t>
  </si>
  <si>
    <t>х</t>
  </si>
  <si>
    <t>1.1.</t>
  </si>
  <si>
    <t>тарифи на виробництво теплової енергії</t>
  </si>
  <si>
    <t>1.2.</t>
  </si>
  <si>
    <t>тарифи на транспортування теплової енергії без урахування витрат на обслуговування та ремонт ЦТП</t>
  </si>
  <si>
    <t>1.3.</t>
  </si>
  <si>
    <t>тарифи на постачання теплової енергії</t>
  </si>
  <si>
    <t>Структура витрат на теплову енергію, тис.грн. на рік</t>
  </si>
  <si>
    <t xml:space="preserve">витрати на електроенергія </t>
  </si>
  <si>
    <t xml:space="preserve">Загальна вартість   теплової енергії </t>
  </si>
  <si>
    <t>Загальна вартість   теплової енергії  з податком на додану вартість</t>
  </si>
  <si>
    <t>Додаток 6</t>
  </si>
  <si>
    <t>Структура тарифів на теплову енергію з урахуванням витрат на утримання  та ремонт ЦТП Товариства з обмеженою відповідальністю "НіжинТеплоМережі"</t>
  </si>
  <si>
    <t>тарифи на транспортування теплової енергії  з урахуванням витрат на обслуговування та ремонт ЦТП</t>
  </si>
  <si>
    <t>Витрати на  утримання та ремонту ЦТП</t>
  </si>
  <si>
    <t xml:space="preserve"> інше використання  прибутку</t>
  </si>
  <si>
    <t xml:space="preserve">Загальна вартість   теплової енергії  </t>
  </si>
  <si>
    <t>13</t>
  </si>
  <si>
    <t>14</t>
  </si>
  <si>
    <t>Додаток  7</t>
  </si>
  <si>
    <t>Структура тарифів на послугу з постачання теплової енергії без урахування витрат на утримання та ремонт ЦТП  Товариства з обмеженою відповідальністю "НіжинТеплоМережі"</t>
  </si>
  <si>
    <t xml:space="preserve">для потреб бюджетних установ </t>
  </si>
  <si>
    <t xml:space="preserve">для потреб інших споживачів (крім населення) </t>
  </si>
  <si>
    <t>Тарифи на послугу з постачання теплової енергії без урахування витрат на утримання та ремонт ЦТП</t>
  </si>
  <si>
    <t>Структура витрат на послугу з постачання теплової енергії, тис.грн. на рік</t>
  </si>
  <si>
    <t xml:space="preserve"> інше використання  прибутку (забезпечення обігових коштів)</t>
  </si>
  <si>
    <t>Додаток  8</t>
  </si>
  <si>
    <t>Структура тарифів на послугу з постачання теплової енергії з урахуванням витрат на утримання та ремонт ЦТП   Товариства з обмеженою відповідальністю "НіжинТеплоМережі"</t>
  </si>
  <si>
    <t>Тарифи на послугу з постачання теплової енергії з урахуванням витрат на утримання та ремонт ЦТП</t>
  </si>
  <si>
    <t>Додаток   9</t>
  </si>
  <si>
    <t>Структура тарифів на послугу з  постачання гарячої води  без урахування витрат на утримання та ремонт ЦТП Товариства з обмеженою відповідальністю "НіжинТеплоМережі"</t>
  </si>
  <si>
    <t xml:space="preserve">Найменування показників </t>
  </si>
  <si>
    <t>Для потреб бюджетних установ</t>
  </si>
  <si>
    <t xml:space="preserve">Для потреб інших споживачів (крім населення) </t>
  </si>
  <si>
    <t>грн/куб.м</t>
  </si>
  <si>
    <t>1.</t>
  </si>
  <si>
    <t>Собівартість власної теплової енергії, врахована у встановлених тарифах на теплову енергію</t>
  </si>
  <si>
    <t>2.</t>
  </si>
  <si>
    <t>Витрати на придбання води для послуги з гарячого водопостачання</t>
  </si>
  <si>
    <t>3.</t>
  </si>
  <si>
    <t>Розрахунковий прибуток, 
усього, у т.ч.:</t>
  </si>
  <si>
    <t>3.1.</t>
  </si>
  <si>
    <t>прибуток у тарифі на теплову енергію для потреб відповідної категорії споживачів</t>
  </si>
  <si>
    <t>3.2.</t>
  </si>
  <si>
    <t>4.</t>
  </si>
  <si>
    <t>Плановані тарифи на послуги</t>
  </si>
  <si>
    <t>5.</t>
  </si>
  <si>
    <t>Плановані тарифи на послуги з ПДВ</t>
  </si>
  <si>
    <t>Ісаєнко Л.М.</t>
  </si>
  <si>
    <t>Додаток  10</t>
  </si>
  <si>
    <t>Структура тарифів на послугу з  постачання гарячої води  з урахуванняvм витрат на утримання та ремонт ЦТП Товариства з обмеженою відповідальністю "НіжинТеплоМережі"</t>
  </si>
  <si>
    <t xml:space="preserve"> №   380        від    07.10.2021 р.</t>
  </si>
</sst>
</file>

<file path=xl/styles.xml><?xml version="1.0" encoding="utf-8"?>
<styleSheet xmlns="http://schemas.openxmlformats.org/spreadsheetml/2006/main">
  <numFmts count="14">
    <numFmt numFmtId="43" formatCode="_-* #,##0.00\ _₽_-;\-* #,##0.00\ _₽_-;_-* &quot;-&quot;??\ _₽_-;_-@_-"/>
    <numFmt numFmtId="164" formatCode="#,##0.000000"/>
    <numFmt numFmtId="165" formatCode="#,##0.00000"/>
    <numFmt numFmtId="166" formatCode="_-* #,##0.00\ _г_р_н_._-;\-* #,##0.00\ _г_р_н_._-;_-* &quot;-&quot;??\ _г_р_н_._-;_-@_-"/>
    <numFmt numFmtId="167" formatCode="#,##0.000"/>
    <numFmt numFmtId="168" formatCode="_-* #,##0.00&quot;р.&quot;_-;\-* #,##0.00&quot;р.&quot;_-;_-* &quot;-&quot;??&quot;р.&quot;_-;_-@_-"/>
    <numFmt numFmtId="169" formatCode="0.0"/>
    <numFmt numFmtId="170" formatCode="_-* #,##0\ _р_._-;\-* #,##0\ _р_._-;_-* &quot;-&quot;\ _р_._-;_-@_-"/>
    <numFmt numFmtId="171" formatCode="_-* #,##0.00\ _р_._-;\-* #,##0.00\ _р_._-;_-* &quot;-&quot;??\ _р_._-;_-@_-"/>
    <numFmt numFmtId="172" formatCode="_-* #,##0\ _к_._-;\-* #,##0\ _к_._-;_-* &quot;-&quot;\ _к_._-;_-@_-"/>
    <numFmt numFmtId="173" formatCode="_(* #,##0.00_);_(* \(#,##0.00\);_(* &quot;-&quot;??_);_(@_)"/>
    <numFmt numFmtId="174" formatCode="_-* #,##0.00_₴_-;\-* #,##0.00_₴_-;_-* &quot;-&quot;??_₴_-;_-@_-"/>
    <numFmt numFmtId="175" formatCode="_-* #,##0.00_р_._-;\-* #,##0.00_р_._-;_-* &quot;-&quot;??_р_._-;_-@_-"/>
    <numFmt numFmtId="176" formatCode="_-* #,##0.0\ _г_р_н_._-;\-* #,##0.0\ _г_р_н_._-;_-* &quot;-&quot;??\ _г_р_н_._-;_-@_-"/>
  </numFmts>
  <fonts count="7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0"/>
      <name val="Arial"/>
      <family val="2"/>
      <charset val="204"/>
    </font>
    <font>
      <b/>
      <sz val="1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rgb="FFC00000"/>
      <name val="Arial"/>
      <family val="2"/>
      <charset val="204"/>
    </font>
    <font>
      <sz val="10"/>
      <color theme="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 Cyr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 Cyr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Cyr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color indexed="10"/>
      <name val="Arial Cyr"/>
      <family val="2"/>
      <charset val="204"/>
    </font>
    <font>
      <sz val="9"/>
      <color indexed="8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Arial Cyr"/>
      <family val="2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color theme="0"/>
      <name val="Times New Roman"/>
      <family val="1"/>
      <charset val="204"/>
    </font>
    <font>
      <b/>
      <sz val="9"/>
      <color theme="0"/>
      <name val="Times New Roman"/>
      <family val="1"/>
      <charset val="204"/>
    </font>
    <font>
      <b/>
      <sz val="8"/>
      <color theme="0"/>
      <name val="Times New Roman"/>
      <family val="1"/>
      <charset val="204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465">
    <xf numFmtId="0" fontId="0" fillId="0" borderId="0"/>
    <xf numFmtId="0" fontId="3" fillId="0" borderId="0"/>
    <xf numFmtId="0" fontId="1" fillId="0" borderId="0"/>
    <xf numFmtId="0" fontId="1" fillId="0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4" borderId="0" applyNumberFormat="0" applyBorder="0" applyAlignment="0" applyProtection="0"/>
    <xf numFmtId="0" fontId="19" fillId="7" borderId="0" applyNumberFormat="0" applyBorder="0" applyAlignment="0" applyProtection="0"/>
    <xf numFmtId="0" fontId="19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20" fillId="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5" borderId="0" applyNumberFormat="0" applyBorder="0" applyAlignment="0" applyProtection="0"/>
    <xf numFmtId="0" fontId="20" fillId="7" borderId="0" applyNumberFormat="0" applyBorder="0" applyAlignment="0" applyProtection="0"/>
    <xf numFmtId="0" fontId="20" fillId="1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5" borderId="0" applyNumberFormat="0" applyBorder="0" applyAlignment="0" applyProtection="0"/>
    <xf numFmtId="0" fontId="20" fillId="19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22" borderId="0" applyNumberFormat="0" applyBorder="0" applyAlignment="0" applyProtection="0"/>
    <xf numFmtId="0" fontId="20" fillId="10" borderId="0" applyNumberFormat="0" applyBorder="0" applyAlignment="0" applyProtection="0"/>
    <xf numFmtId="0" fontId="20" fillId="7" borderId="0" applyNumberFormat="0" applyBorder="0" applyAlignment="0" applyProtection="0"/>
    <xf numFmtId="0" fontId="20" fillId="13" borderId="0" applyNumberFormat="0" applyBorder="0" applyAlignment="0" applyProtection="0"/>
    <xf numFmtId="0" fontId="20" fillId="2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0" borderId="0" applyNumberFormat="0" applyBorder="0" applyAlignment="0" applyProtection="0"/>
    <xf numFmtId="0" fontId="20" fillId="22" borderId="0" applyNumberFormat="0" applyBorder="0" applyAlignment="0" applyProtection="0"/>
    <xf numFmtId="0" fontId="20" fillId="10" borderId="0" applyNumberFormat="0" applyBorder="0" applyAlignment="0" applyProtection="0"/>
    <xf numFmtId="0" fontId="20" fillId="7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6" borderId="0" applyNumberFormat="0" applyBorder="0" applyAlignment="0" applyProtection="0"/>
    <xf numFmtId="0" fontId="20" fillId="6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13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21" fillId="28" borderId="0" applyNumberFormat="0" applyBorder="0" applyAlignment="0" applyProtection="0"/>
    <xf numFmtId="0" fontId="21" fillId="5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29" borderId="0" applyNumberFormat="0" applyBorder="0" applyAlignment="0" applyProtection="0"/>
    <xf numFmtId="0" fontId="22" fillId="7" borderId="0" applyNumberFormat="0" applyBorder="0" applyAlignment="0" applyProtection="0"/>
    <xf numFmtId="0" fontId="22" fillId="13" borderId="0" applyNumberFormat="0" applyBorder="0" applyAlignment="0" applyProtection="0"/>
    <xf numFmtId="0" fontId="22" fillId="23" borderId="0" applyNumberFormat="0" applyBorder="0" applyAlignment="0" applyProtection="0"/>
    <xf numFmtId="0" fontId="22" fillId="13" borderId="0" applyNumberFormat="0" applyBorder="0" applyAlignment="0" applyProtection="0"/>
    <xf numFmtId="0" fontId="22" fillId="3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2" borderId="0" applyNumberFormat="0" applyBorder="0" applyAlignment="0" applyProtection="0"/>
    <xf numFmtId="0" fontId="22" fillId="11" borderId="0" applyNumberFormat="0" applyBorder="0" applyAlignment="0" applyProtection="0"/>
    <xf numFmtId="0" fontId="22" fillId="28" borderId="0" applyNumberFormat="0" applyBorder="0" applyAlignment="0" applyProtection="0"/>
    <xf numFmtId="0" fontId="22" fillId="34" borderId="0" applyNumberFormat="0" applyBorder="0" applyAlignment="0" applyProtection="0"/>
    <xf numFmtId="0" fontId="22" fillId="28" borderId="0" applyNumberFormat="0" applyBorder="0" applyAlignment="0" applyProtection="0"/>
    <xf numFmtId="0" fontId="22" fillId="7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5" borderId="0" applyNumberFormat="0" applyBorder="0" applyAlignment="0" applyProtection="0"/>
    <xf numFmtId="0" fontId="22" fillId="13" borderId="0" applyNumberFormat="0" applyBorder="0" applyAlignment="0" applyProtection="0"/>
    <xf numFmtId="0" fontId="22" fillId="30" borderId="0" applyNumberFormat="0" applyBorder="0" applyAlignment="0" applyProtection="0"/>
    <xf numFmtId="0" fontId="22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1" fillId="2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3" fillId="11" borderId="0" applyNumberFormat="0" applyBorder="0" applyAlignment="0" applyProtection="0"/>
    <xf numFmtId="0" fontId="24" fillId="4" borderId="8" applyNumberFormat="0" applyAlignment="0" applyProtection="0"/>
    <xf numFmtId="0" fontId="24" fillId="4" borderId="8" applyNumberFormat="0" applyAlignment="0" applyProtection="0"/>
    <xf numFmtId="0" fontId="25" fillId="39" borderId="9" applyNumberFormat="0" applyAlignment="0" applyProtection="0"/>
    <xf numFmtId="166" fontId="26" fillId="0" borderId="0" applyFont="0" applyFill="0" applyBorder="0" applyAlignment="0" applyProtection="0"/>
    <xf numFmtId="0" fontId="3" fillId="0" borderId="10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167" fontId="3" fillId="0" borderId="11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167" fontId="3" fillId="0" borderId="11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/>
    </xf>
    <xf numFmtId="0" fontId="3" fillId="0" borderId="12" applyNumberFormat="0" applyFill="0" applyProtection="0">
      <alignment vertical="top" wrapText="1"/>
    </xf>
    <xf numFmtId="0" fontId="3" fillId="0" borderId="11" applyNumberFormat="0" applyFill="0" applyProtection="0">
      <alignment vertical="top"/>
    </xf>
    <xf numFmtId="0" fontId="3" fillId="0" borderId="12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167" fontId="3" fillId="0" borderId="11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0" fontId="3" fillId="0" borderId="11" applyNumberFormat="0" applyFill="0" applyProtection="0">
      <alignment vertical="top" wrapText="1"/>
    </xf>
    <xf numFmtId="167" fontId="3" fillId="0" borderId="11" applyFill="0" applyProtection="0">
      <alignment vertical="top" wrapText="1"/>
    </xf>
    <xf numFmtId="0" fontId="27" fillId="0" borderId="0" applyNumberFormat="0" applyFill="0" applyBorder="0" applyProtection="0">
      <alignment horizontal="center" vertical="top"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167" fontId="28" fillId="0" borderId="13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167" fontId="28" fillId="0" borderId="13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167" fontId="28" fillId="0" borderId="13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0" fontId="28" fillId="0" borderId="13" applyNumberFormat="0" applyFill="0" applyProtection="0">
      <alignment wrapText="1"/>
    </xf>
    <xf numFmtId="167" fontId="28" fillId="0" borderId="13" applyFill="0" applyProtection="0">
      <alignment wrapText="1"/>
    </xf>
    <xf numFmtId="0" fontId="4" fillId="0" borderId="2" applyNumberFormat="0" applyFill="0" applyProtection="0">
      <alignment horizontal="center" vertical="top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35" fillId="5" borderId="8" applyNumberFormat="0" applyAlignment="0" applyProtection="0"/>
    <xf numFmtId="0" fontId="35" fillId="5" borderId="8" applyNumberFormat="0" applyAlignment="0" applyProtection="0"/>
    <xf numFmtId="0" fontId="36" fillId="0" borderId="17" applyNumberFormat="0" applyFill="0" applyAlignment="0" applyProtection="0"/>
    <xf numFmtId="0" fontId="37" fillId="21" borderId="0" applyNumberFormat="0" applyBorder="0" applyAlignment="0" applyProtection="0"/>
    <xf numFmtId="0" fontId="34" fillId="0" borderId="0"/>
    <xf numFmtId="0" fontId="34" fillId="0" borderId="0"/>
    <xf numFmtId="0" fontId="26" fillId="6" borderId="18" applyNumberFormat="0" applyFont="0" applyAlignment="0" applyProtection="0"/>
    <xf numFmtId="0" fontId="26" fillId="6" borderId="18" applyNumberFormat="0" applyFont="0" applyAlignment="0" applyProtection="0"/>
    <xf numFmtId="0" fontId="38" fillId="4" borderId="19" applyNumberFormat="0" applyAlignment="0" applyProtection="0"/>
    <xf numFmtId="0" fontId="38" fillId="4" borderId="19" applyNumberFormat="0" applyAlignment="0" applyProtection="0"/>
    <xf numFmtId="0" fontId="39" fillId="4" borderId="0">
      <alignment horizontal="center" vertical="center"/>
    </xf>
    <xf numFmtId="0" fontId="40" fillId="4" borderId="0">
      <alignment horizontal="left" vertical="center"/>
    </xf>
    <xf numFmtId="0" fontId="41" fillId="0" borderId="0"/>
    <xf numFmtId="0" fontId="42" fillId="0" borderId="0" applyNumberFormat="0" applyFill="0" applyBorder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4" fillId="0" borderId="0" applyNumberFormat="0" applyFill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3" borderId="0" applyNumberFormat="0" applyBorder="0" applyAlignment="0" applyProtection="0"/>
    <xf numFmtId="0" fontId="22" fillId="31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5" borderId="0" applyNumberFormat="0" applyBorder="0" applyAlignment="0" applyProtection="0"/>
    <xf numFmtId="0" fontId="22" fillId="26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28" borderId="0" applyNumberFormat="0" applyBorder="0" applyAlignment="0" applyProtection="0"/>
    <xf numFmtId="0" fontId="22" fillId="3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47" borderId="0" applyNumberFormat="0" applyBorder="0" applyAlignment="0" applyProtection="0"/>
    <xf numFmtId="0" fontId="22" fillId="31" borderId="0" applyNumberFormat="0" applyBorder="0" applyAlignment="0" applyProtection="0"/>
    <xf numFmtId="0" fontId="22" fillId="43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47" borderId="0" applyNumberFormat="0" applyBorder="0" applyAlignment="0" applyProtection="0"/>
    <xf numFmtId="0" fontId="45" fillId="19" borderId="8" applyNumberFormat="0" applyAlignment="0" applyProtection="0"/>
    <xf numFmtId="0" fontId="45" fillId="5" borderId="8" applyNumberFormat="0" applyAlignment="0" applyProtection="0"/>
    <xf numFmtId="0" fontId="45" fillId="19" borderId="8" applyNumberFormat="0" applyAlignment="0" applyProtection="0"/>
    <xf numFmtId="0" fontId="45" fillId="5" borderId="8" applyNumberFormat="0" applyAlignment="0" applyProtection="0"/>
    <xf numFmtId="0" fontId="45" fillId="21" borderId="8" applyNumberFormat="0" applyAlignment="0" applyProtection="0"/>
    <xf numFmtId="9" fontId="46" fillId="0" borderId="0" applyFont="0" applyFill="0" applyBorder="0" applyAlignment="0" applyProtection="0"/>
    <xf numFmtId="0" fontId="47" fillId="20" borderId="19" applyNumberFormat="0" applyAlignment="0" applyProtection="0"/>
    <xf numFmtId="0" fontId="47" fillId="48" borderId="19" applyNumberFormat="0" applyAlignment="0" applyProtection="0"/>
    <xf numFmtId="0" fontId="47" fillId="20" borderId="19" applyNumberFormat="0" applyAlignment="0" applyProtection="0"/>
    <xf numFmtId="0" fontId="47" fillId="4" borderId="19" applyNumberFormat="0" applyAlignment="0" applyProtection="0"/>
    <xf numFmtId="0" fontId="48" fillId="20" borderId="8" applyNumberFormat="0" applyAlignment="0" applyProtection="0"/>
    <xf numFmtId="0" fontId="48" fillId="48" borderId="8" applyNumberFormat="0" applyAlignment="0" applyProtection="0"/>
    <xf numFmtId="0" fontId="48" fillId="20" borderId="8" applyNumberFormat="0" applyAlignment="0" applyProtection="0"/>
    <xf numFmtId="0" fontId="49" fillId="4" borderId="8" applyNumberFormat="0" applyAlignment="0" applyProtection="0"/>
    <xf numFmtId="168" fontId="34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9" fontId="46" fillId="0" borderId="0" applyFill="0" applyBorder="0" applyAlignment="0" applyProtection="0"/>
    <xf numFmtId="0" fontId="50" fillId="15" borderId="0" applyNumberFormat="0" applyBorder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" fillId="0" borderId="0"/>
    <xf numFmtId="0" fontId="46" fillId="0" borderId="0"/>
    <xf numFmtId="0" fontId="3" fillId="0" borderId="0"/>
    <xf numFmtId="0" fontId="3" fillId="0" borderId="0"/>
    <xf numFmtId="0" fontId="54" fillId="0" borderId="0"/>
    <xf numFmtId="0" fontId="20" fillId="0" borderId="0"/>
    <xf numFmtId="0" fontId="3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54" fillId="0" borderId="0"/>
    <xf numFmtId="0" fontId="55" fillId="0" borderId="17" applyNumberFormat="0" applyFill="0" applyAlignment="0" applyProtection="0"/>
    <xf numFmtId="0" fontId="56" fillId="0" borderId="23" applyNumberFormat="0" applyFill="0" applyAlignment="0" applyProtection="0"/>
    <xf numFmtId="0" fontId="56" fillId="0" borderId="24" applyNumberFormat="0" applyFill="0" applyAlignment="0" applyProtection="0"/>
    <xf numFmtId="0" fontId="57" fillId="49" borderId="9" applyNumberFormat="0" applyAlignment="0" applyProtection="0"/>
    <xf numFmtId="0" fontId="57" fillId="39" borderId="9" applyNumberFormat="0" applyAlignment="0" applyProtection="0"/>
    <xf numFmtId="0" fontId="57" fillId="49" borderId="9" applyNumberFormat="0" applyAlignment="0" applyProtection="0"/>
    <xf numFmtId="0" fontId="57" fillId="39" borderId="9" applyNumberFormat="0" applyAlignment="0" applyProtection="0"/>
    <xf numFmtId="0" fontId="57" fillId="39" borderId="9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21" borderId="0" applyNumberFormat="0" applyBorder="0" applyAlignment="0" applyProtection="0"/>
    <xf numFmtId="0" fontId="60" fillId="50" borderId="0" applyNumberFormat="0" applyBorder="0" applyAlignment="0" applyProtection="0"/>
    <xf numFmtId="0" fontId="60" fillId="21" borderId="0" applyNumberFormat="0" applyBorder="0" applyAlignment="0" applyProtection="0"/>
    <xf numFmtId="0" fontId="61" fillId="21" borderId="0" applyNumberFormat="0" applyBorder="0" applyAlignment="0" applyProtection="0"/>
    <xf numFmtId="0" fontId="48" fillId="48" borderId="8" applyNumberFormat="0" applyAlignment="0" applyProtection="0"/>
    <xf numFmtId="0" fontId="2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34" fillId="0" borderId="0"/>
    <xf numFmtId="0" fontId="54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20" fillId="0" borderId="0"/>
    <xf numFmtId="0" fontId="54" fillId="0" borderId="0"/>
    <xf numFmtId="0" fontId="26" fillId="0" borderId="0"/>
    <xf numFmtId="0" fontId="1" fillId="0" borderId="0"/>
    <xf numFmtId="0" fontId="34" fillId="0" borderId="0"/>
    <xf numFmtId="0" fontId="20" fillId="0" borderId="0"/>
    <xf numFmtId="0" fontId="3" fillId="0" borderId="0"/>
    <xf numFmtId="0" fontId="34" fillId="0" borderId="0"/>
    <xf numFmtId="0" fontId="3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9" fillId="0" borderId="0"/>
    <xf numFmtId="0" fontId="20" fillId="0" borderId="0"/>
    <xf numFmtId="0" fontId="1" fillId="0" borderId="0"/>
    <xf numFmtId="0" fontId="3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4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0" borderId="0"/>
    <xf numFmtId="0" fontId="26" fillId="0" borderId="0"/>
    <xf numFmtId="0" fontId="19" fillId="0" borderId="0"/>
    <xf numFmtId="0" fontId="62" fillId="0" borderId="0"/>
    <xf numFmtId="0" fontId="19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46" fillId="0" borderId="0"/>
    <xf numFmtId="0" fontId="56" fillId="0" borderId="23" applyNumberFormat="0" applyFill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6" borderId="0" applyNumberFormat="0" applyBorder="0" applyAlignment="0" applyProtection="0"/>
    <xf numFmtId="0" fontId="65" fillId="12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/>
    <xf numFmtId="0" fontId="20" fillId="6" borderId="18" applyNumberFormat="0" applyFont="0" applyAlignment="0" applyProtection="0"/>
    <xf numFmtId="0" fontId="19" fillId="51" borderId="18" applyNumberFormat="0" applyAlignment="0" applyProtection="0"/>
    <xf numFmtId="0" fontId="20" fillId="6" borderId="18" applyNumberFormat="0" applyFont="0" applyAlignment="0" applyProtection="0"/>
    <xf numFmtId="0" fontId="34" fillId="6" borderId="18" applyNumberFormat="0" applyFont="0" applyAlignment="0" applyProtection="0"/>
    <xf numFmtId="0" fontId="19" fillId="51" borderId="18" applyNumberFormat="0" applyAlignment="0" applyProtection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7" fillId="48" borderId="19" applyNumberFormat="0" applyAlignment="0" applyProtection="0"/>
    <xf numFmtId="0" fontId="55" fillId="0" borderId="17" applyNumberFormat="0" applyFill="0" applyAlignment="0" applyProtection="0"/>
    <xf numFmtId="0" fontId="69" fillId="0" borderId="25" applyNumberFormat="0" applyFill="0" applyAlignment="0" applyProtection="0"/>
    <xf numFmtId="0" fontId="60" fillId="50" borderId="0" applyNumberFormat="0" applyBorder="0" applyAlignment="0" applyProtection="0"/>
    <xf numFmtId="0" fontId="70" fillId="0" borderId="2"/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34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4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4" borderId="0" applyNumberFormat="0" applyBorder="0" applyAlignment="0" applyProtection="0"/>
    <xf numFmtId="0" fontId="50" fillId="7" borderId="0" applyNumberFormat="0" applyBorder="0" applyAlignment="0" applyProtection="0"/>
  </cellStyleXfs>
  <cellXfs count="167">
    <xf numFmtId="0" fontId="0" fillId="0" borderId="0" xfId="0"/>
    <xf numFmtId="0" fontId="3" fillId="0" borderId="0" xfId="1"/>
    <xf numFmtId="0" fontId="4" fillId="0" borderId="0" xfId="1" applyFont="1"/>
    <xf numFmtId="0" fontId="5" fillId="0" borderId="0" xfId="1" applyFont="1"/>
    <xf numFmtId="0" fontId="3" fillId="0" borderId="0" xfId="1" applyBorder="1"/>
    <xf numFmtId="0" fontId="6" fillId="0" borderId="0" xfId="1" applyFont="1" applyAlignment="1">
      <alignment horizontal="center" wrapText="1"/>
    </xf>
    <xf numFmtId="0" fontId="5" fillId="0" borderId="0" xfId="1" applyFont="1" applyBorder="1"/>
    <xf numFmtId="0" fontId="8" fillId="0" borderId="3" xfId="1" applyFont="1" applyBorder="1" applyAlignment="1"/>
    <xf numFmtId="0" fontId="7" fillId="0" borderId="6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1" fontId="9" fillId="0" borderId="2" xfId="1" applyNumberFormat="1" applyFont="1" applyBorder="1" applyAlignment="1">
      <alignment horizontal="center"/>
    </xf>
    <xf numFmtId="1" fontId="9" fillId="0" borderId="0" xfId="1" applyNumberFormat="1" applyFont="1" applyBorder="1" applyAlignment="1">
      <alignment horizontal="center"/>
    </xf>
    <xf numFmtId="1" fontId="10" fillId="0" borderId="2" xfId="1" applyNumberFormat="1" applyFont="1" applyBorder="1" applyAlignment="1">
      <alignment horizontal="center"/>
    </xf>
    <xf numFmtId="1" fontId="11" fillId="0" borderId="2" xfId="1" applyNumberFormat="1" applyFont="1" applyBorder="1" applyAlignment="1">
      <alignment horizontal="center"/>
    </xf>
    <xf numFmtId="4" fontId="11" fillId="0" borderId="2" xfId="1" applyNumberFormat="1" applyFont="1" applyBorder="1" applyAlignment="1">
      <alignment horizontal="center"/>
    </xf>
    <xf numFmtId="1" fontId="11" fillId="0" borderId="0" xfId="1" applyNumberFormat="1" applyFont="1" applyBorder="1" applyAlignment="1">
      <alignment horizontal="center"/>
    </xf>
    <xf numFmtId="2" fontId="3" fillId="0" borderId="0" xfId="1" applyNumberFormat="1"/>
    <xf numFmtId="1" fontId="7" fillId="0" borderId="2" xfId="1" applyNumberFormat="1" applyFont="1" applyBorder="1" applyAlignment="1">
      <alignment horizontal="center"/>
    </xf>
    <xf numFmtId="1" fontId="10" fillId="0" borderId="2" xfId="1" applyNumberFormat="1" applyFont="1" applyBorder="1" applyAlignment="1">
      <alignment horizontal="left"/>
    </xf>
    <xf numFmtId="4" fontId="7" fillId="0" borderId="2" xfId="1" applyNumberFormat="1" applyFont="1" applyBorder="1" applyAlignment="1">
      <alignment horizontal="center"/>
    </xf>
    <xf numFmtId="4" fontId="7" fillId="0" borderId="0" xfId="1" applyNumberFormat="1" applyFont="1" applyBorder="1" applyAlignment="1">
      <alignment horizontal="center"/>
    </xf>
    <xf numFmtId="49" fontId="7" fillId="0" borderId="2" xfId="1" applyNumberFormat="1" applyFont="1" applyBorder="1" applyAlignment="1">
      <alignment horizontal="center"/>
    </xf>
    <xf numFmtId="0" fontId="10" fillId="0" borderId="2" xfId="1" applyFont="1" applyBorder="1"/>
    <xf numFmtId="49" fontId="5" fillId="0" borderId="2" xfId="1" applyNumberFormat="1" applyFont="1" applyBorder="1" applyAlignment="1">
      <alignment horizontal="center"/>
    </xf>
    <xf numFmtId="0" fontId="9" fillId="2" borderId="2" xfId="1" applyFont="1" applyFill="1" applyBorder="1" applyAlignment="1" applyProtection="1">
      <alignment horizontal="left" vertical="center" wrapText="1"/>
    </xf>
    <xf numFmtId="4" fontId="9" fillId="2" borderId="2" xfId="1" applyNumberFormat="1" applyFont="1" applyFill="1" applyBorder="1" applyAlignment="1" applyProtection="1">
      <alignment horizontal="center" vertical="center" wrapText="1"/>
    </xf>
    <xf numFmtId="4" fontId="5" fillId="0" borderId="2" xfId="1" applyNumberFormat="1" applyFont="1" applyBorder="1" applyAlignment="1">
      <alignment horizontal="center"/>
    </xf>
    <xf numFmtId="4" fontId="5" fillId="0" borderId="0" xfId="1" applyNumberFormat="1" applyFont="1" applyBorder="1" applyAlignment="1">
      <alignment horizontal="center"/>
    </xf>
    <xf numFmtId="0" fontId="9" fillId="3" borderId="2" xfId="1" applyFont="1" applyFill="1" applyBorder="1" applyAlignment="1" applyProtection="1">
      <alignment horizontal="left" vertical="top" wrapText="1"/>
    </xf>
    <xf numFmtId="0" fontId="9" fillId="0" borderId="2" xfId="1" applyFont="1" applyFill="1" applyBorder="1" applyAlignment="1" applyProtection="1">
      <alignment horizontal="left" vertical="top" wrapText="1"/>
    </xf>
    <xf numFmtId="4" fontId="5" fillId="0" borderId="2" xfId="1" applyNumberFormat="1" applyFont="1" applyBorder="1" applyAlignment="1">
      <alignment horizontal="center" vertical="center"/>
    </xf>
    <xf numFmtId="4" fontId="5" fillId="0" borderId="0" xfId="1" applyNumberFormat="1" applyFont="1" applyBorder="1" applyAlignment="1">
      <alignment horizontal="center" vertical="center"/>
    </xf>
    <xf numFmtId="0" fontId="10" fillId="2" borderId="2" xfId="1" applyFont="1" applyFill="1" applyBorder="1" applyAlignment="1" applyProtection="1">
      <alignment wrapText="1"/>
    </xf>
    <xf numFmtId="4" fontId="10" fillId="2" borderId="2" xfId="1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wrapText="1"/>
    </xf>
    <xf numFmtId="0" fontId="9" fillId="0" borderId="2" xfId="1" applyFont="1" applyFill="1" applyBorder="1" applyAlignment="1" applyProtection="1">
      <alignment wrapText="1"/>
    </xf>
    <xf numFmtId="0" fontId="9" fillId="2" borderId="2" xfId="1" applyFont="1" applyFill="1" applyBorder="1" applyAlignment="1" applyProtection="1">
      <alignment wrapText="1"/>
    </xf>
    <xf numFmtId="49" fontId="12" fillId="0" borderId="2" xfId="2" applyNumberFormat="1" applyFont="1" applyBorder="1" applyAlignment="1" applyProtection="1">
      <alignment horizontal="center" vertical="center" wrapText="1"/>
    </xf>
    <xf numFmtId="0" fontId="12" fillId="0" borderId="2" xfId="2" applyFont="1" applyBorder="1" applyAlignment="1" applyProtection="1">
      <alignment vertical="center" wrapText="1"/>
    </xf>
    <xf numFmtId="0" fontId="13" fillId="0" borderId="2" xfId="2" applyFont="1" applyBorder="1" applyAlignment="1" applyProtection="1">
      <alignment vertical="center" wrapText="1"/>
    </xf>
    <xf numFmtId="0" fontId="13" fillId="0" borderId="2" xfId="2" applyFont="1" applyFill="1" applyBorder="1" applyAlignment="1" applyProtection="1">
      <alignment vertical="center" wrapText="1"/>
    </xf>
    <xf numFmtId="4" fontId="7" fillId="0" borderId="2" xfId="1" applyNumberFormat="1" applyFont="1" applyBorder="1" applyAlignment="1">
      <alignment horizontal="center" vertical="center"/>
    </xf>
    <xf numFmtId="4" fontId="7" fillId="0" borderId="0" xfId="1" applyNumberFormat="1" applyFont="1" applyBorder="1" applyAlignment="1">
      <alignment horizontal="center" vertical="center"/>
    </xf>
    <xf numFmtId="49" fontId="13" fillId="0" borderId="2" xfId="2" applyNumberFormat="1" applyFont="1" applyBorder="1" applyAlignment="1" applyProtection="1">
      <alignment horizontal="center" vertical="center" wrapText="1"/>
    </xf>
    <xf numFmtId="0" fontId="13" fillId="0" borderId="2" xfId="0" applyFont="1" applyBorder="1" applyAlignment="1">
      <alignment wrapText="1"/>
    </xf>
    <xf numFmtId="4" fontId="13" fillId="0" borderId="2" xfId="0" applyNumberFormat="1" applyFont="1" applyBorder="1" applyAlignment="1">
      <alignment horizontal="center" wrapText="1"/>
    </xf>
    <xf numFmtId="4" fontId="13" fillId="0" borderId="0" xfId="0" applyNumberFormat="1" applyFont="1" applyBorder="1" applyAlignment="1">
      <alignment horizontal="center" wrapText="1"/>
    </xf>
    <xf numFmtId="49" fontId="7" fillId="0" borderId="2" xfId="1" applyNumberFormat="1" applyFont="1" applyBorder="1" applyAlignment="1">
      <alignment horizontal="center" vertical="center"/>
    </xf>
    <xf numFmtId="4" fontId="13" fillId="0" borderId="2" xfId="2" applyNumberFormat="1" applyFont="1" applyBorder="1" applyAlignment="1" applyProtection="1">
      <alignment horizontal="center" vertical="center" wrapText="1"/>
    </xf>
    <xf numFmtId="4" fontId="14" fillId="0" borderId="0" xfId="1" applyNumberFormat="1" applyFont="1"/>
    <xf numFmtId="4" fontId="5" fillId="0" borderId="0" xfId="1" applyNumberFormat="1" applyFont="1"/>
    <xf numFmtId="0" fontId="15" fillId="0" borderId="0" xfId="1" applyFont="1"/>
    <xf numFmtId="0" fontId="15" fillId="0" borderId="0" xfId="1" applyFont="1" applyAlignment="1">
      <alignment horizontal="right"/>
    </xf>
    <xf numFmtId="0" fontId="8" fillId="0" borderId="0" xfId="1" applyFont="1" applyBorder="1" applyAlignment="1">
      <alignment horizontal="center"/>
    </xf>
    <xf numFmtId="1" fontId="11" fillId="0" borderId="2" xfId="1" applyNumberFormat="1" applyFont="1" applyBorder="1" applyAlignment="1">
      <alignment horizontal="center" wrapText="1"/>
    </xf>
    <xf numFmtId="4" fontId="11" fillId="0" borderId="2" xfId="1" applyNumberFormat="1" applyFont="1" applyBorder="1" applyAlignment="1">
      <alignment horizontal="center" vertical="center"/>
    </xf>
    <xf numFmtId="4" fontId="11" fillId="0" borderId="0" xfId="1" applyNumberFormat="1" applyFont="1" applyBorder="1" applyAlignment="1">
      <alignment horizontal="center" vertical="center"/>
    </xf>
    <xf numFmtId="1" fontId="11" fillId="0" borderId="0" xfId="1" applyNumberFormat="1" applyFont="1" applyBorder="1" applyAlignment="1">
      <alignment horizontal="center" wrapText="1"/>
    </xf>
    <xf numFmtId="4" fontId="9" fillId="3" borderId="2" xfId="1" applyNumberFormat="1" applyFont="1" applyFill="1" applyBorder="1" applyAlignment="1" applyProtection="1">
      <alignment horizontal="center" vertical="top" wrapText="1"/>
    </xf>
    <xf numFmtId="4" fontId="9" fillId="3" borderId="2" xfId="1" applyNumberFormat="1" applyFont="1" applyFill="1" applyBorder="1" applyAlignment="1" applyProtection="1">
      <alignment horizontal="center" vertical="center" wrapText="1"/>
    </xf>
    <xf numFmtId="4" fontId="10" fillId="3" borderId="2" xfId="1" applyNumberFormat="1" applyFont="1" applyFill="1" applyBorder="1" applyAlignment="1" applyProtection="1">
      <alignment horizontal="center" wrapText="1"/>
    </xf>
    <xf numFmtId="4" fontId="9" fillId="3" borderId="2" xfId="1" applyNumberFormat="1" applyFont="1" applyFill="1" applyBorder="1" applyAlignment="1" applyProtection="1">
      <alignment horizontal="center" wrapText="1"/>
    </xf>
    <xf numFmtId="0" fontId="10" fillId="0" borderId="2" xfId="3" applyFont="1" applyFill="1" applyBorder="1" applyAlignment="1" applyProtection="1">
      <alignment vertical="center" wrapText="1"/>
    </xf>
    <xf numFmtId="4" fontId="10" fillId="3" borderId="2" xfId="1" applyNumberFormat="1" applyFont="1" applyFill="1" applyBorder="1" applyAlignment="1" applyProtection="1">
      <alignment horizontal="center" vertical="center" wrapText="1"/>
    </xf>
    <xf numFmtId="4" fontId="10" fillId="3" borderId="2" xfId="1" applyNumberFormat="1" applyFont="1" applyFill="1" applyBorder="1" applyAlignment="1" applyProtection="1">
      <alignment horizontal="center" vertical="top" wrapText="1"/>
    </xf>
    <xf numFmtId="0" fontId="10" fillId="0" borderId="2" xfId="1" applyFont="1" applyFill="1" applyBorder="1" applyAlignment="1" applyProtection="1">
      <alignment horizontal="left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6" fillId="0" borderId="0" xfId="1" applyFont="1" applyFill="1" applyAlignment="1">
      <alignment horizontal="center" wrapText="1"/>
    </xf>
    <xf numFmtId="0" fontId="5" fillId="0" borderId="0" xfId="1" applyFont="1" applyFill="1"/>
    <xf numFmtId="1" fontId="7" fillId="0" borderId="2" xfId="1" applyNumberFormat="1" applyFont="1" applyFill="1" applyBorder="1" applyAlignment="1">
      <alignment horizontal="center"/>
    </xf>
    <xf numFmtId="1" fontId="10" fillId="0" borderId="2" xfId="1" applyNumberFormat="1" applyFont="1" applyFill="1" applyBorder="1" applyAlignment="1">
      <alignment horizontal="left"/>
    </xf>
    <xf numFmtId="4" fontId="7" fillId="0" borderId="2" xfId="1" applyNumberFormat="1" applyFont="1" applyFill="1" applyBorder="1" applyAlignment="1">
      <alignment horizontal="center"/>
    </xf>
    <xf numFmtId="4" fontId="7" fillId="0" borderId="0" xfId="1" applyNumberFormat="1" applyFont="1" applyFill="1" applyBorder="1" applyAlignment="1">
      <alignment horizontal="center"/>
    </xf>
    <xf numFmtId="49" fontId="7" fillId="0" borderId="2" xfId="1" applyNumberFormat="1" applyFont="1" applyFill="1" applyBorder="1" applyAlignment="1">
      <alignment horizontal="center"/>
    </xf>
    <xf numFmtId="0" fontId="10" fillId="0" borderId="2" xfId="1" applyFont="1" applyFill="1" applyBorder="1"/>
    <xf numFmtId="49" fontId="5" fillId="0" borderId="2" xfId="1" applyNumberFormat="1" applyFont="1" applyFill="1" applyBorder="1" applyAlignment="1">
      <alignment horizontal="center"/>
    </xf>
    <xf numFmtId="4" fontId="9" fillId="0" borderId="2" xfId="1" applyNumberFormat="1" applyFont="1" applyFill="1" applyBorder="1" applyAlignment="1" applyProtection="1">
      <alignment horizontal="center" wrapText="1"/>
    </xf>
    <xf numFmtId="4" fontId="5" fillId="0" borderId="2" xfId="1" applyNumberFormat="1" applyFont="1" applyFill="1" applyBorder="1" applyAlignment="1">
      <alignment horizontal="center"/>
    </xf>
    <xf numFmtId="4" fontId="5" fillId="0" borderId="0" xfId="1" applyNumberFormat="1" applyFont="1" applyFill="1" applyBorder="1" applyAlignment="1">
      <alignment horizontal="center"/>
    </xf>
    <xf numFmtId="49" fontId="12" fillId="0" borderId="2" xfId="2" applyNumberFormat="1" applyFont="1" applyFill="1" applyBorder="1" applyAlignment="1" applyProtection="1">
      <alignment horizontal="center" vertical="center" wrapText="1"/>
    </xf>
    <xf numFmtId="0" fontId="12" fillId="0" borderId="2" xfId="2" applyFont="1" applyFill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top" wrapText="1"/>
    </xf>
    <xf numFmtId="4" fontId="7" fillId="0" borderId="2" xfId="1" applyNumberFormat="1" applyFont="1" applyFill="1" applyBorder="1" applyAlignment="1">
      <alignment horizontal="center" vertical="center"/>
    </xf>
    <xf numFmtId="4" fontId="7" fillId="0" borderId="0" xfId="1" applyNumberFormat="1" applyFont="1" applyFill="1" applyBorder="1" applyAlignment="1">
      <alignment horizontal="center" vertical="center"/>
    </xf>
    <xf numFmtId="4" fontId="10" fillId="0" borderId="2" xfId="1" applyNumberFormat="1" applyFont="1" applyFill="1" applyBorder="1" applyAlignment="1" applyProtection="1">
      <alignment horizontal="center" vertical="top" wrapText="1"/>
    </xf>
    <xf numFmtId="4" fontId="10" fillId="0" borderId="2" xfId="1" applyNumberFormat="1" applyFont="1" applyFill="1" applyBorder="1" applyAlignment="1" applyProtection="1">
      <alignment horizontal="center" wrapText="1"/>
    </xf>
    <xf numFmtId="2" fontId="13" fillId="0" borderId="2" xfId="0" applyNumberFormat="1" applyFont="1" applyBorder="1" applyAlignment="1">
      <alignment horizontal="center" wrapText="1"/>
    </xf>
    <xf numFmtId="2" fontId="13" fillId="0" borderId="0" xfId="0" applyNumberFormat="1" applyFont="1" applyBorder="1" applyAlignment="1">
      <alignment horizontal="center" wrapText="1"/>
    </xf>
    <xf numFmtId="4" fontId="10" fillId="0" borderId="0" xfId="1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/>
    <xf numFmtId="4" fontId="14" fillId="0" borderId="0" xfId="1" applyNumberFormat="1" applyFont="1" applyFill="1"/>
    <xf numFmtId="0" fontId="15" fillId="0" borderId="0" xfId="1" applyFont="1" applyFill="1"/>
    <xf numFmtId="0" fontId="14" fillId="0" borderId="0" xfId="1" applyFont="1" applyFill="1"/>
    <xf numFmtId="4" fontId="10" fillId="0" borderId="2" xfId="1" applyNumberFormat="1" applyFont="1" applyBorder="1" applyAlignment="1">
      <alignment horizontal="center"/>
    </xf>
    <xf numFmtId="4" fontId="9" fillId="0" borderId="2" xfId="1" applyNumberFormat="1" applyFont="1" applyBorder="1" applyAlignment="1">
      <alignment horizontal="center"/>
    </xf>
    <xf numFmtId="0" fontId="12" fillId="3" borderId="2" xfId="2" applyFont="1" applyFill="1" applyBorder="1" applyAlignment="1" applyProtection="1">
      <alignment vertical="center" wrapText="1"/>
    </xf>
    <xf numFmtId="49" fontId="16" fillId="0" borderId="2" xfId="2" applyNumberFormat="1" applyFont="1" applyBorder="1" applyAlignment="1" applyProtection="1">
      <alignment horizontal="center" vertical="center" wrapText="1"/>
    </xf>
    <xf numFmtId="2" fontId="10" fillId="0" borderId="2" xfId="1" applyNumberFormat="1" applyFont="1" applyBorder="1" applyAlignment="1">
      <alignment horizontal="center"/>
    </xf>
    <xf numFmtId="2" fontId="10" fillId="0" borderId="0" xfId="1" applyNumberFormat="1" applyFont="1" applyBorder="1" applyAlignment="1">
      <alignment horizontal="center"/>
    </xf>
    <xf numFmtId="1" fontId="10" fillId="0" borderId="2" xfId="1" applyNumberFormat="1" applyFont="1" applyBorder="1" applyAlignment="1">
      <alignment horizontal="left" wrapText="1"/>
    </xf>
    <xf numFmtId="1" fontId="10" fillId="0" borderId="2" xfId="1" applyNumberFormat="1" applyFont="1" applyBorder="1" applyAlignment="1">
      <alignment horizontal="center" vertical="center"/>
    </xf>
    <xf numFmtId="2" fontId="10" fillId="0" borderId="2" xfId="1" applyNumberFormat="1" applyFont="1" applyBorder="1" applyAlignment="1">
      <alignment horizontal="center" vertical="center"/>
    </xf>
    <xf numFmtId="2" fontId="10" fillId="0" borderId="0" xfId="1" applyNumberFormat="1" applyFont="1" applyBorder="1" applyAlignment="1">
      <alignment horizontal="center" vertical="center"/>
    </xf>
    <xf numFmtId="4" fontId="10" fillId="2" borderId="2" xfId="1" applyNumberFormat="1" applyFont="1" applyFill="1" applyBorder="1" applyAlignment="1" applyProtection="1">
      <alignment horizontal="center" wrapText="1"/>
    </xf>
    <xf numFmtId="4" fontId="9" fillId="2" borderId="2" xfId="1" applyNumberFormat="1" applyFont="1" applyFill="1" applyBorder="1" applyAlignment="1" applyProtection="1">
      <alignment horizontal="center" wrapText="1"/>
    </xf>
    <xf numFmtId="4" fontId="12" fillId="0" borderId="2" xfId="2" applyNumberFormat="1" applyFont="1" applyBorder="1" applyAlignment="1" applyProtection="1">
      <alignment horizontal="center" wrapText="1"/>
    </xf>
    <xf numFmtId="4" fontId="12" fillId="0" borderId="2" xfId="2" applyNumberFormat="1" applyFont="1" applyBorder="1" applyAlignment="1" applyProtection="1">
      <alignment horizontal="center" vertical="center" wrapText="1"/>
    </xf>
    <xf numFmtId="4" fontId="10" fillId="0" borderId="0" xfId="1" applyNumberFormat="1" applyFont="1" applyFill="1" applyBorder="1" applyAlignment="1" applyProtection="1">
      <alignment horizontal="center" wrapText="1"/>
    </xf>
    <xf numFmtId="4" fontId="10" fillId="2" borderId="0" xfId="1" applyNumberFormat="1" applyFont="1" applyFill="1" applyBorder="1" applyAlignment="1" applyProtection="1">
      <alignment horizontal="center" wrapText="1"/>
    </xf>
    <xf numFmtId="0" fontId="7" fillId="0" borderId="2" xfId="1" applyFont="1" applyBorder="1" applyAlignment="1">
      <alignment horizontal="center"/>
    </xf>
    <xf numFmtId="4" fontId="10" fillId="0" borderId="0" xfId="1" applyNumberFormat="1" applyFont="1" applyBorder="1" applyAlignment="1">
      <alignment horizontal="center"/>
    </xf>
    <xf numFmtId="2" fontId="17" fillId="0" borderId="0" xfId="1" applyNumberFormat="1" applyFont="1"/>
    <xf numFmtId="4" fontId="10" fillId="0" borderId="2" xfId="3" applyNumberFormat="1" applyFont="1" applyFill="1" applyBorder="1" applyAlignment="1" applyProtection="1">
      <alignment horizontal="center" vertical="center" wrapText="1"/>
    </xf>
    <xf numFmtId="2" fontId="3" fillId="0" borderId="0" xfId="1" applyNumberFormat="1" applyFont="1"/>
    <xf numFmtId="0" fontId="7" fillId="0" borderId="2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1" fontId="10" fillId="0" borderId="2" xfId="1" applyNumberFormat="1" applyFont="1" applyBorder="1" applyAlignment="1">
      <alignment horizontal="center" wrapText="1"/>
    </xf>
    <xf numFmtId="4" fontId="13" fillId="0" borderId="0" xfId="2" applyNumberFormat="1" applyFont="1" applyBorder="1" applyAlignment="1" applyProtection="1">
      <alignment horizontal="center" vertical="center" wrapText="1"/>
    </xf>
    <xf numFmtId="2" fontId="18" fillId="0" borderId="0" xfId="1" applyNumberFormat="1" applyFont="1"/>
    <xf numFmtId="0" fontId="6" fillId="0" borderId="0" xfId="1" applyFont="1" applyAlignment="1">
      <alignment wrapText="1"/>
    </xf>
    <xf numFmtId="4" fontId="10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4" fillId="0" borderId="0" xfId="1" applyFont="1" applyBorder="1" applyAlignment="1">
      <alignment horizontal="center"/>
    </xf>
    <xf numFmtId="0" fontId="13" fillId="0" borderId="0" xfId="334" applyFont="1" applyFill="1" applyBorder="1" applyAlignment="1" applyProtection="1">
      <alignment horizontal="center"/>
      <protection locked="0"/>
    </xf>
    <xf numFmtId="0" fontId="13" fillId="3" borderId="2" xfId="309" applyFont="1" applyFill="1" applyBorder="1" applyAlignment="1" applyProtection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2" fillId="3" borderId="2" xfId="309" applyFont="1" applyFill="1" applyBorder="1" applyAlignment="1" applyProtection="1">
      <alignment vertical="center" wrapText="1"/>
    </xf>
    <xf numFmtId="0" fontId="12" fillId="3" borderId="2" xfId="309" applyFont="1" applyFill="1" applyBorder="1" applyAlignment="1" applyProtection="1">
      <alignment horizontal="center" vertical="center" wrapText="1"/>
    </xf>
    <xf numFmtId="0" fontId="12" fillId="0" borderId="2" xfId="309" applyFont="1" applyFill="1" applyBorder="1" applyAlignment="1" applyProtection="1">
      <alignment horizontal="center" vertical="center" wrapText="1"/>
    </xf>
    <xf numFmtId="0" fontId="12" fillId="3" borderId="2" xfId="309" applyFont="1" applyFill="1" applyBorder="1" applyAlignment="1" applyProtection="1">
      <alignment horizontal="center" vertical="center"/>
    </xf>
    <xf numFmtId="0" fontId="12" fillId="3" borderId="2" xfId="309" applyFont="1" applyFill="1" applyBorder="1" applyAlignment="1" applyProtection="1">
      <alignment vertical="top" wrapText="1"/>
    </xf>
    <xf numFmtId="4" fontId="12" fillId="3" borderId="2" xfId="309" applyNumberFormat="1" applyFont="1" applyFill="1" applyBorder="1" applyAlignment="1" applyProtection="1">
      <alignment horizontal="center" vertical="center"/>
    </xf>
    <xf numFmtId="0" fontId="12" fillId="0" borderId="2" xfId="308" applyFont="1" applyBorder="1" applyAlignment="1" applyProtection="1">
      <alignment wrapText="1"/>
    </xf>
    <xf numFmtId="0" fontId="12" fillId="0" borderId="2" xfId="0" applyFont="1" applyBorder="1" applyAlignment="1">
      <alignment wrapText="1"/>
    </xf>
    <xf numFmtId="0" fontId="72" fillId="0" borderId="2" xfId="0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2" fontId="0" fillId="0" borderId="0" xfId="0" applyNumberFormat="1"/>
    <xf numFmtId="0" fontId="2" fillId="0" borderId="0" xfId="0" applyFont="1"/>
    <xf numFmtId="1" fontId="73" fillId="0" borderId="0" xfId="1" applyNumberFormat="1" applyFont="1" applyBorder="1" applyAlignment="1">
      <alignment horizontal="center"/>
    </xf>
    <xf numFmtId="4" fontId="74" fillId="0" borderId="0" xfId="1" applyNumberFormat="1" applyFont="1" applyBorder="1" applyAlignment="1">
      <alignment horizontal="center"/>
    </xf>
    <xf numFmtId="2" fontId="74" fillId="0" borderId="0" xfId="1" applyNumberFormat="1" applyFont="1" applyBorder="1" applyAlignment="1">
      <alignment horizontal="center"/>
    </xf>
    <xf numFmtId="4" fontId="75" fillId="0" borderId="0" xfId="1" applyNumberFormat="1" applyFont="1" applyFill="1" applyBorder="1" applyAlignment="1" applyProtection="1">
      <alignment horizontal="center" vertical="center" wrapText="1"/>
    </xf>
    <xf numFmtId="164" fontId="18" fillId="0" borderId="0" xfId="1" applyNumberFormat="1" applyFont="1"/>
    <xf numFmtId="0" fontId="18" fillId="0" borderId="0" xfId="1" applyFont="1"/>
    <xf numFmtId="4" fontId="18" fillId="0" borderId="0" xfId="1" applyNumberFormat="1" applyFont="1"/>
    <xf numFmtId="1" fontId="11" fillId="0" borderId="6" xfId="1" applyNumberFormat="1" applyFont="1" applyBorder="1" applyAlignment="1">
      <alignment horizontal="center"/>
    </xf>
    <xf numFmtId="1" fontId="11" fillId="0" borderId="7" xfId="1" applyNumberFormat="1" applyFont="1" applyBorder="1" applyAlignment="1">
      <alignment horizontal="center"/>
    </xf>
    <xf numFmtId="0" fontId="6" fillId="0" borderId="0" xfId="1" applyFont="1" applyAlignment="1">
      <alignment horizontal="center" wrapText="1"/>
    </xf>
    <xf numFmtId="0" fontId="7" fillId="0" borderId="2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1" fontId="11" fillId="0" borderId="3" xfId="1" applyNumberFormat="1" applyFont="1" applyBorder="1" applyAlignment="1">
      <alignment horizontal="center"/>
    </xf>
    <xf numFmtId="0" fontId="7" fillId="0" borderId="4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1" fontId="11" fillId="0" borderId="6" xfId="1" applyNumberFormat="1" applyFont="1" applyBorder="1" applyAlignment="1">
      <alignment horizontal="center" wrapText="1"/>
    </xf>
    <xf numFmtId="1" fontId="11" fillId="0" borderId="7" xfId="1" applyNumberFormat="1" applyFont="1" applyBorder="1" applyAlignment="1">
      <alignment horizontal="center" wrapText="1"/>
    </xf>
    <xf numFmtId="1" fontId="11" fillId="0" borderId="3" xfId="1" applyNumberFormat="1" applyFont="1" applyBorder="1" applyAlignment="1">
      <alignment horizontal="center" wrapText="1"/>
    </xf>
    <xf numFmtId="0" fontId="6" fillId="0" borderId="0" xfId="1" applyFont="1" applyFill="1" applyAlignment="1">
      <alignment horizontal="center" wrapText="1"/>
    </xf>
    <xf numFmtId="0" fontId="8" fillId="0" borderId="2" xfId="1" applyFont="1" applyBorder="1" applyAlignment="1">
      <alignment horizontal="center"/>
    </xf>
    <xf numFmtId="0" fontId="71" fillId="0" borderId="0" xfId="0" applyFont="1" applyAlignment="1">
      <alignment horizontal="left" wrapText="1"/>
    </xf>
    <xf numFmtId="0" fontId="71" fillId="3" borderId="0" xfId="334" applyFont="1" applyFill="1" applyBorder="1" applyAlignment="1" applyProtection="1">
      <alignment horizontal="center" wrapText="1"/>
      <protection locked="0"/>
    </xf>
    <xf numFmtId="0" fontId="13" fillId="3" borderId="0" xfId="334" applyFont="1" applyFill="1" applyBorder="1" applyAlignment="1" applyProtection="1">
      <alignment horizontal="center" wrapText="1"/>
      <protection locked="0"/>
    </xf>
  </cellXfs>
  <cellStyles count="465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2" xfId="10"/>
    <cellStyle name="20% - Акцент1 2 2" xfId="11"/>
    <cellStyle name="20% - Акцент1 2_КВ Чхім 0108 вар3" xfId="12"/>
    <cellStyle name="20% - Акцент1 3" xfId="13"/>
    <cellStyle name="20% - Акцент2 2" xfId="14"/>
    <cellStyle name="20% - Акцент2 2 2" xfId="15"/>
    <cellStyle name="20% - Акцент2 2_КВ Чхім 0108 вар3" xfId="16"/>
    <cellStyle name="20% - Акцент2 3" xfId="17"/>
    <cellStyle name="20% - Акцент3 2" xfId="18"/>
    <cellStyle name="20% - Акцент3 2 2" xfId="19"/>
    <cellStyle name="20% - Акцент3 2_КВ Чхім 0108 вар3" xfId="20"/>
    <cellStyle name="20% - Акцент3 3" xfId="21"/>
    <cellStyle name="20% - Акцент4 2" xfId="22"/>
    <cellStyle name="20% - Акцент4 2 2" xfId="23"/>
    <cellStyle name="20% - Акцент4 2_КВ Чхім 0108 вар3" xfId="24"/>
    <cellStyle name="20% - Акцент4 3" xfId="25"/>
    <cellStyle name="20% - Акцент5 2" xfId="26"/>
    <cellStyle name="20% - Акцент5 2 2" xfId="27"/>
    <cellStyle name="20% - Акцент5 2_КВ Чхім 0108 вар3" xfId="28"/>
    <cellStyle name="20% - Акцент5 3" xfId="29"/>
    <cellStyle name="20% - Акцент6 2" xfId="30"/>
    <cellStyle name="20% - Акцент6 2 2" xfId="31"/>
    <cellStyle name="20% - Акцент6 2_КВ Чхім 0108 вар3" xfId="32"/>
    <cellStyle name="20% - Акцент6 3" xfId="33"/>
    <cellStyle name="20% – Акцентування1" xfId="34"/>
    <cellStyle name="20% – Акцентування2" xfId="35"/>
    <cellStyle name="20% – Акцентування3" xfId="36"/>
    <cellStyle name="20% – Акцентування4" xfId="37"/>
    <cellStyle name="20% – Акцентування5" xfId="38"/>
    <cellStyle name="20% – Акцентування6" xfId="39"/>
    <cellStyle name="40% - Accent1" xfId="40"/>
    <cellStyle name="40% - Accent2" xfId="41"/>
    <cellStyle name="40% - Accent3" xfId="42"/>
    <cellStyle name="40% - Accent4" xfId="43"/>
    <cellStyle name="40% - Accent5" xfId="44"/>
    <cellStyle name="40% - Accent6" xfId="45"/>
    <cellStyle name="40% - Акцент1 2" xfId="46"/>
    <cellStyle name="40% - Акцент1 2 2" xfId="47"/>
    <cellStyle name="40% - Акцент1 2_КВ Чхім 0108 вар3" xfId="48"/>
    <cellStyle name="40% - Акцент1 3" xfId="49"/>
    <cellStyle name="40% - Акцент2 2" xfId="50"/>
    <cellStyle name="40% - Акцент2 2 2" xfId="51"/>
    <cellStyle name="40% - Акцент2 2_КВ Чхім 0108 вар3" xfId="52"/>
    <cellStyle name="40% - Акцент2 3" xfId="53"/>
    <cellStyle name="40% - Акцент3 2" xfId="54"/>
    <cellStyle name="40% - Акцент3 2 2" xfId="55"/>
    <cellStyle name="40% - Акцент3 2_КВ Чхім 0108 вар3" xfId="56"/>
    <cellStyle name="40% - Акцент3 3" xfId="57"/>
    <cellStyle name="40% - Акцент4 2" xfId="58"/>
    <cellStyle name="40% - Акцент4 2 2" xfId="59"/>
    <cellStyle name="40% - Акцент4 2_КВ Чхім 0108 вар3" xfId="60"/>
    <cellStyle name="40% - Акцент4 3" xfId="61"/>
    <cellStyle name="40% - Акцент5 2" xfId="62"/>
    <cellStyle name="40% - Акцент5 2 2" xfId="63"/>
    <cellStyle name="40% - Акцент5 2_КВ Чхім 0108 вар3" xfId="64"/>
    <cellStyle name="40% - Акцент5 3" xfId="65"/>
    <cellStyle name="40% - Акцент6 2" xfId="66"/>
    <cellStyle name="40% - Акцент6 2 2" xfId="67"/>
    <cellStyle name="40% - Акцент6 2_КВ Чхім 0108 вар3" xfId="68"/>
    <cellStyle name="40% - Акцент6 3" xfId="69"/>
    <cellStyle name="40% – Акцентування1" xfId="70"/>
    <cellStyle name="40% – Акцентування2" xfId="71"/>
    <cellStyle name="40% – Акцентування3" xfId="72"/>
    <cellStyle name="40% – Акцентування4" xfId="73"/>
    <cellStyle name="40% – Акцентування5" xfId="74"/>
    <cellStyle name="40% – Акцентування6" xfId="75"/>
    <cellStyle name="60% - Accent1" xfId="76"/>
    <cellStyle name="60% - Accent2" xfId="77"/>
    <cellStyle name="60% - Accent3" xfId="78"/>
    <cellStyle name="60% - Accent4" xfId="79"/>
    <cellStyle name="60% - Accent5" xfId="80"/>
    <cellStyle name="60% - Accent6" xfId="81"/>
    <cellStyle name="60% - Акцент1 2" xfId="82"/>
    <cellStyle name="60% - Акцент1 2 2" xfId="83"/>
    <cellStyle name="60% - Акцент1 2_КВ Чхім 0108 вар3" xfId="84"/>
    <cellStyle name="60% - Акцент1 3" xfId="85"/>
    <cellStyle name="60% - Акцент2 2" xfId="86"/>
    <cellStyle name="60% - Акцент2 2 2" xfId="87"/>
    <cellStyle name="60% - Акцент2 2_КВ Чхім 0108 вар3" xfId="88"/>
    <cellStyle name="60% - Акцент2 3" xfId="89"/>
    <cellStyle name="60% - Акцент3 2" xfId="90"/>
    <cellStyle name="60% - Акцент3 2 2" xfId="91"/>
    <cellStyle name="60% - Акцент3 2_КВ Чхім 0108 вар3" xfId="92"/>
    <cellStyle name="60% - Акцент3 3" xfId="93"/>
    <cellStyle name="60% - Акцент4 2" xfId="94"/>
    <cellStyle name="60% - Акцент4 2 2" xfId="95"/>
    <cellStyle name="60% - Акцент4 2_КВ Чхім 0108 вар3" xfId="96"/>
    <cellStyle name="60% - Акцент4 3" xfId="97"/>
    <cellStyle name="60% - Акцент5 2" xfId="98"/>
    <cellStyle name="60% - Акцент5 2 2" xfId="99"/>
    <cellStyle name="60% - Акцент5 2_КВ Чхім 0108 вар3" xfId="100"/>
    <cellStyle name="60% - Акцент5 3" xfId="101"/>
    <cellStyle name="60% - Акцент6 2" xfId="102"/>
    <cellStyle name="60% - Акцент6 2 2" xfId="103"/>
    <cellStyle name="60% - Акцент6 2_КВ Чхім 0108 вар3" xfId="104"/>
    <cellStyle name="60% - Акцент6 3" xfId="105"/>
    <cellStyle name="60% – Акцентування1" xfId="106"/>
    <cellStyle name="60% – Акцентування2" xfId="107"/>
    <cellStyle name="60% – Акцентування3" xfId="108"/>
    <cellStyle name="60% – Акцентування4" xfId="109"/>
    <cellStyle name="60% – Акцентування5" xfId="110"/>
    <cellStyle name="60% – Акцентування6" xfId="111"/>
    <cellStyle name="Accent1" xfId="112"/>
    <cellStyle name="Accent2" xfId="113"/>
    <cellStyle name="Accent3" xfId="114"/>
    <cellStyle name="Accent4" xfId="115"/>
    <cellStyle name="Accent5" xfId="116"/>
    <cellStyle name="Accent6" xfId="117"/>
    <cellStyle name="Bad" xfId="118"/>
    <cellStyle name="Calculation" xfId="119"/>
    <cellStyle name="Calculation 2" xfId="120"/>
    <cellStyle name="Check Cell" xfId="121"/>
    <cellStyle name="Comma 2" xfId="122"/>
    <cellStyle name="DataCol1" xfId="123"/>
    <cellStyle name="DataCol10" xfId="124"/>
    <cellStyle name="DataCol11" xfId="125"/>
    <cellStyle name="DataCol12" xfId="126"/>
    <cellStyle name="DataCol13" xfId="127"/>
    <cellStyle name="DataCol14" xfId="128"/>
    <cellStyle name="DataCol15" xfId="129"/>
    <cellStyle name="DataCol16" xfId="130"/>
    <cellStyle name="DataCol17" xfId="131"/>
    <cellStyle name="DataCol18" xfId="132"/>
    <cellStyle name="DataCol19" xfId="133"/>
    <cellStyle name="DataCol2" xfId="134"/>
    <cellStyle name="DataCol20" xfId="135"/>
    <cellStyle name="DataCol21" xfId="136"/>
    <cellStyle name="DataCol22" xfId="137"/>
    <cellStyle name="DataCol23" xfId="138"/>
    <cellStyle name="DataCol24" xfId="139"/>
    <cellStyle name="DataCol25" xfId="140"/>
    <cellStyle name="DataCol3" xfId="141"/>
    <cellStyle name="DataCol4" xfId="142"/>
    <cellStyle name="DataCol5" xfId="143"/>
    <cellStyle name="DataCol6" xfId="144"/>
    <cellStyle name="DataCol7" xfId="145"/>
    <cellStyle name="DataCol8" xfId="146"/>
    <cellStyle name="DataCol9" xfId="147"/>
    <cellStyle name="DataReportHeader_1_1" xfId="148"/>
    <cellStyle name="DataTableEndSum1" xfId="149"/>
    <cellStyle name="DataTableEndSum10" xfId="150"/>
    <cellStyle name="DataTableEndSum11" xfId="151"/>
    <cellStyle name="DataTableEndSum12" xfId="152"/>
    <cellStyle name="DataTableEndSum13" xfId="153"/>
    <cellStyle name="DataTableEndSum14" xfId="154"/>
    <cellStyle name="DataTableEndSum15" xfId="155"/>
    <cellStyle name="DataTableEndSum16" xfId="156"/>
    <cellStyle name="DataTableEndSum17" xfId="157"/>
    <cellStyle name="DataTableEndSum18" xfId="158"/>
    <cellStyle name="DataTableEndSum19" xfId="159"/>
    <cellStyle name="DataTableEndSum2" xfId="160"/>
    <cellStyle name="DataTableEndSum20" xfId="161"/>
    <cellStyle name="DataTableEndSum21" xfId="162"/>
    <cellStyle name="DataTableEndSum22" xfId="163"/>
    <cellStyle name="DataTableEndSum23" xfId="164"/>
    <cellStyle name="DataTableEndSum24" xfId="165"/>
    <cellStyle name="DataTableEndSum25" xfId="166"/>
    <cellStyle name="DataTableEndSum3" xfId="167"/>
    <cellStyle name="DataTableEndSum4" xfId="168"/>
    <cellStyle name="DataTableEndSum5" xfId="169"/>
    <cellStyle name="DataTableEndSum6" xfId="170"/>
    <cellStyle name="DataTableEndSum7" xfId="171"/>
    <cellStyle name="DataTableEndSum8" xfId="172"/>
    <cellStyle name="DataTableEndSum9" xfId="173"/>
    <cellStyle name="DataTitle" xfId="174"/>
    <cellStyle name="Excel Built-in Normal" xfId="175"/>
    <cellStyle name="Excel Built-in Normal 2" xfId="176"/>
    <cellStyle name="Excel Built-in Normal 2 2" xfId="177"/>
    <cellStyle name="Excel Built-in Normal 2_КВ Чхім 0108 вар3" xfId="178"/>
    <cellStyle name="Excel Built-in Normal 3" xfId="179"/>
    <cellStyle name="Excel Built-in Normal_КВ Чхім 0108 вар3" xfId="180"/>
    <cellStyle name="Explanatory Text" xfId="181"/>
    <cellStyle name="Good" xfId="182"/>
    <cellStyle name="Heading 1" xfId="183"/>
    <cellStyle name="Heading 2" xfId="184"/>
    <cellStyle name="Heading 3" xfId="185"/>
    <cellStyle name="Heading 4" xfId="186"/>
    <cellStyle name="Iau?iue" xfId="187"/>
    <cellStyle name="Input" xfId="188"/>
    <cellStyle name="Input 2" xfId="189"/>
    <cellStyle name="Linked Cell" xfId="190"/>
    <cellStyle name="Neutral" xfId="191"/>
    <cellStyle name="Normal 2" xfId="192"/>
    <cellStyle name="Normal_Газ 2000" xfId="193"/>
    <cellStyle name="Note" xfId="194"/>
    <cellStyle name="Note 2" xfId="195"/>
    <cellStyle name="Output" xfId="196"/>
    <cellStyle name="Output 2" xfId="197"/>
    <cellStyle name="S4" xfId="198"/>
    <cellStyle name="S7" xfId="199"/>
    <cellStyle name="TableStyleLight1" xfId="200"/>
    <cellStyle name="Title" xfId="201"/>
    <cellStyle name="Total" xfId="202"/>
    <cellStyle name="Total 2" xfId="203"/>
    <cellStyle name="Warning Text" xfId="204"/>
    <cellStyle name="Акцент1 2" xfId="205"/>
    <cellStyle name="Акцент1 2 2" xfId="206"/>
    <cellStyle name="Акцент1 2_КВ Чхім 0108 вар3" xfId="207"/>
    <cellStyle name="Акцент1 3" xfId="208"/>
    <cellStyle name="Акцент2 2" xfId="209"/>
    <cellStyle name="Акцент2 2 2" xfId="210"/>
    <cellStyle name="Акцент2 2_КВ Чхім 0108 вар3" xfId="211"/>
    <cellStyle name="Акцент2 3" xfId="212"/>
    <cellStyle name="Акцент3 2" xfId="213"/>
    <cellStyle name="Акцент3 2 2" xfId="214"/>
    <cellStyle name="Акцент3 2_КВ Чхім 0108 вар3" xfId="215"/>
    <cellStyle name="Акцент3 3" xfId="216"/>
    <cellStyle name="Акцент4 2" xfId="217"/>
    <cellStyle name="Акцент4 2 2" xfId="218"/>
    <cellStyle name="Акцент4 2_КВ Чхім 0108 вар3" xfId="219"/>
    <cellStyle name="Акцент4 3" xfId="220"/>
    <cellStyle name="Акцент5 2" xfId="221"/>
    <cellStyle name="Акцент5 2 2" xfId="222"/>
    <cellStyle name="Акцент5 2_КВ Чхім 0108 вар3" xfId="223"/>
    <cellStyle name="Акцент5 3" xfId="224"/>
    <cellStyle name="Акцент6 2" xfId="225"/>
    <cellStyle name="Акцент6 2 2" xfId="226"/>
    <cellStyle name="Акцент6 2_КВ Чхім 0108 вар3" xfId="227"/>
    <cellStyle name="Акцент6 3" xfId="228"/>
    <cellStyle name="Акцентування1" xfId="229"/>
    <cellStyle name="Акцентування2" xfId="230"/>
    <cellStyle name="Акцентування3" xfId="231"/>
    <cellStyle name="Акцентування4" xfId="232"/>
    <cellStyle name="Акцентування5" xfId="233"/>
    <cellStyle name="Акцентування6" xfId="234"/>
    <cellStyle name="Ввід" xfId="235"/>
    <cellStyle name="Ввод  2" xfId="236"/>
    <cellStyle name="Ввод  2 2" xfId="237"/>
    <cellStyle name="Ввод  2_КВ Чхім 0108 вар3" xfId="238"/>
    <cellStyle name="Ввод  3" xfId="239"/>
    <cellStyle name="Відсотковий 2" xfId="240"/>
    <cellStyle name="Вывод 2" xfId="241"/>
    <cellStyle name="Вывод 2 2" xfId="242"/>
    <cellStyle name="Вывод 2_КВ Чхім 0108 вар3" xfId="243"/>
    <cellStyle name="Вывод 3" xfId="244"/>
    <cellStyle name="Вычисление 2" xfId="245"/>
    <cellStyle name="Вычисление 2 2" xfId="246"/>
    <cellStyle name="Вычисление 2_КВ Чхім 0108 вар3" xfId="247"/>
    <cellStyle name="Вычисление 3" xfId="248"/>
    <cellStyle name="Денежный 2" xfId="249"/>
    <cellStyle name="Денежный 2 2" xfId="250"/>
    <cellStyle name="Денежный 2_Копия Тариф по пост 242 ЗВЕДЕНИЙ 2014 3" xfId="251"/>
    <cellStyle name="Денежный 3" xfId="252"/>
    <cellStyle name="Денежный 4" xfId="253"/>
    <cellStyle name="Добре" xfId="254"/>
    <cellStyle name="Заголовок 1 2" xfId="255"/>
    <cellStyle name="Заголовок 1 3" xfId="256"/>
    <cellStyle name="Заголовок 2 2" xfId="257"/>
    <cellStyle name="Заголовок 2 3" xfId="258"/>
    <cellStyle name="Заголовок 3 2" xfId="259"/>
    <cellStyle name="Заголовок 3 3" xfId="260"/>
    <cellStyle name="Заголовок 4 2" xfId="261"/>
    <cellStyle name="Заголовок 4 3" xfId="262"/>
    <cellStyle name="Звичайний 2" xfId="263"/>
    <cellStyle name="Звичайний 2 2" xfId="264"/>
    <cellStyle name="Звичайний 3" xfId="265"/>
    <cellStyle name="Звичайний 3 2" xfId="266"/>
    <cellStyle name="Звичайний 3 3" xfId="267"/>
    <cellStyle name="Звичайний 3 4" xfId="268"/>
    <cellStyle name="Звичайний 3 5" xfId="269"/>
    <cellStyle name="Звичайний 3 6" xfId="270"/>
    <cellStyle name="Звичайний 3 6 2" xfId="271"/>
    <cellStyle name="Звичайний 3 7" xfId="272"/>
    <cellStyle name="Звичайний 3 8" xfId="273"/>
    <cellStyle name="Звичайний 4" xfId="274"/>
    <cellStyle name="Звичайний 4 2" xfId="275"/>
    <cellStyle name="Звичайний 4 3" xfId="276"/>
    <cellStyle name="Звичайний 5" xfId="277"/>
    <cellStyle name="Звичайний 5 2" xfId="278"/>
    <cellStyle name="Звичайний 6" xfId="279"/>
    <cellStyle name="Звичайний 7" xfId="280"/>
    <cellStyle name="Звичайний 8" xfId="281"/>
    <cellStyle name="Зв'язана клітинка" xfId="282"/>
    <cellStyle name="Итог 2" xfId="283"/>
    <cellStyle name="Итог 3" xfId="284"/>
    <cellStyle name="Контрольна клітинка" xfId="285"/>
    <cellStyle name="Контрольная ячейка 2" xfId="286"/>
    <cellStyle name="Контрольная ячейка 2 2" xfId="287"/>
    <cellStyle name="Контрольная ячейка 2_КВ Чхім 0108 вар3" xfId="288"/>
    <cellStyle name="Контрольная ячейка 3" xfId="289"/>
    <cellStyle name="Назва" xfId="290"/>
    <cellStyle name="Название 2" xfId="291"/>
    <cellStyle name="Название 3" xfId="292"/>
    <cellStyle name="Нейтральный 2" xfId="293"/>
    <cellStyle name="Нейтральный 2 2" xfId="294"/>
    <cellStyle name="Нейтральный 2_КВ Чхім 0108 вар3" xfId="295"/>
    <cellStyle name="Нейтральный 3" xfId="296"/>
    <cellStyle name="Обчислення" xfId="297"/>
    <cellStyle name="Обычный" xfId="0" builtinId="0"/>
    <cellStyle name="Обычный 10" xfId="298"/>
    <cellStyle name="Обычный 10 2" xfId="299"/>
    <cellStyle name="Обычный 10 3" xfId="300"/>
    <cellStyle name="Обычный 10 4" xfId="301"/>
    <cellStyle name="Обычный 10 5" xfId="302"/>
    <cellStyle name="Обычный 10 6" xfId="303"/>
    <cellStyle name="Обычный 11" xfId="304"/>
    <cellStyle name="Обычный 11 2" xfId="305"/>
    <cellStyle name="Обычный 11 3" xfId="306"/>
    <cellStyle name="Обычный 12" xfId="307"/>
    <cellStyle name="Обычный 13" xfId="308"/>
    <cellStyle name="Обычный 14" xfId="309"/>
    <cellStyle name="Обычный 15" xfId="310"/>
    <cellStyle name="Обычный 15 2" xfId="311"/>
    <cellStyle name="Обычный 15 2 2" xfId="312"/>
    <cellStyle name="Обычный 15 3" xfId="313"/>
    <cellStyle name="Обычный 16" xfId="314"/>
    <cellStyle name="Обычный 2" xfId="315"/>
    <cellStyle name="Обычный 2 10" xfId="316"/>
    <cellStyle name="Обычный 2 11" xfId="317"/>
    <cellStyle name="Обычный 2 12" xfId="318"/>
    <cellStyle name="Обычный 2 13" xfId="319"/>
    <cellStyle name="Обычный 2 14" xfId="320"/>
    <cellStyle name="Обычный 2 15" xfId="321"/>
    <cellStyle name="Обычный 2 15 2" xfId="322"/>
    <cellStyle name="Обычный 2 15_Копія  форма № 8-НКРЕКП-тепло 2014" xfId="323"/>
    <cellStyle name="Обычный 2 16" xfId="324"/>
    <cellStyle name="Обычный 2 2" xfId="325"/>
    <cellStyle name="Обычный 2 2 2" xfId="326"/>
    <cellStyle name="Обычный 2 2 2 2" xfId="327"/>
    <cellStyle name="Обычный 2 2 2 3" xfId="328"/>
    <cellStyle name="Обычный 2 2 2 4" xfId="329"/>
    <cellStyle name="Обычный 2 2 2 5" xfId="330"/>
    <cellStyle name="Обычный 2 2 2 6" xfId="331"/>
    <cellStyle name="Обычный 2 2 2 7" xfId="332"/>
    <cellStyle name="Обычный 2 2 2 8" xfId="333"/>
    <cellStyle name="Обычный 2 2 3" xfId="334"/>
    <cellStyle name="Обычный 2 2 3 2" xfId="335"/>
    <cellStyle name="Обычный 2 2 4" xfId="336"/>
    <cellStyle name="Обычный 2 2 5" xfId="337"/>
    <cellStyle name="Обычный 2 2 6" xfId="338"/>
    <cellStyle name="Обычный 2 2 7" xfId="339"/>
    <cellStyle name="Обычный 2 2 8" xfId="340"/>
    <cellStyle name="Обычный 2 2_КВ Чхім 0108 вар3" xfId="341"/>
    <cellStyle name="Обычный 2 3" xfId="342"/>
    <cellStyle name="Обычный 2 3 2" xfId="343"/>
    <cellStyle name="Обычный 2 3 3" xfId="344"/>
    <cellStyle name="Обычный 2 3 4" xfId="345"/>
    <cellStyle name="Обычный 2 3_КВ Чхім 0108 вар3" xfId="346"/>
    <cellStyle name="Обычный 2 4" xfId="347"/>
    <cellStyle name="Обычный 2 4 2" xfId="348"/>
    <cellStyle name="Обычный 2 5" xfId="349"/>
    <cellStyle name="Обычный 2 5 2" xfId="350"/>
    <cellStyle name="Обычный 2 6" xfId="351"/>
    <cellStyle name="Обычный 2 7" xfId="352"/>
    <cellStyle name="Обычный 2 8" xfId="353"/>
    <cellStyle name="Обычный 2 9" xfId="354"/>
    <cellStyle name="Обычный 2 9 2" xfId="355"/>
    <cellStyle name="Обычный 2_Аналіз старих тарифів на коміссію27_10_11" xfId="356"/>
    <cellStyle name="Обычный 3" xfId="2"/>
    <cellStyle name="Обычный 3 10" xfId="357"/>
    <cellStyle name="Обычный 3 10 6" xfId="358"/>
    <cellStyle name="Обычный 3 11 2 2 2" xfId="359"/>
    <cellStyle name="Обычный 3 11 3 2" xfId="360"/>
    <cellStyle name="Обычный 3 11 3 2 2" xfId="361"/>
    <cellStyle name="Обычный 3 11 3 3" xfId="362"/>
    <cellStyle name="Обычный 3 11 3 3 2" xfId="3"/>
    <cellStyle name="Обычный 3 2" xfId="1"/>
    <cellStyle name="Обычный 3 2 2" xfId="363"/>
    <cellStyle name="Обычный 3 3" xfId="364"/>
    <cellStyle name="Обычный 3 3 2" xfId="365"/>
    <cellStyle name="Обычный 3 3 3" xfId="366"/>
    <cellStyle name="Обычный 3 4" xfId="367"/>
    <cellStyle name="Обычный 3 4 2" xfId="368"/>
    <cellStyle name="Обычный 3 4 3" xfId="369"/>
    <cellStyle name="Обычный 3 5" xfId="370"/>
    <cellStyle name="Обычный 3 5 2" xfId="371"/>
    <cellStyle name="Обычный 3 6" xfId="372"/>
    <cellStyle name="Обычный 3 7" xfId="373"/>
    <cellStyle name="Обычный 3 8" xfId="374"/>
    <cellStyle name="Обычный 3 9" xfId="375"/>
    <cellStyle name="Обычный 3_Копия Тариф по пост 242 ЗВЕДЕНИЙ 2014 3" xfId="376"/>
    <cellStyle name="Обычный 4" xfId="377"/>
    <cellStyle name="Обычный 4 2" xfId="378"/>
    <cellStyle name="Обычный 4 2 2" xfId="379"/>
    <cellStyle name="Обычный 4 2 2 2" xfId="380"/>
    <cellStyle name="Обычный 4 2 2 2 2" xfId="381"/>
    <cellStyle name="Обычный 4 2 3" xfId="382"/>
    <cellStyle name="Обычный 4 2_КВ Чхім 0108 вар3" xfId="383"/>
    <cellStyle name="Обычный 4 3" xfId="384"/>
    <cellStyle name="Обычный 4 3 2" xfId="385"/>
    <cellStyle name="Обычный 4 4" xfId="386"/>
    <cellStyle name="Обычный 4 5" xfId="387"/>
    <cellStyle name="Обычный 4 6 2 2 2" xfId="388"/>
    <cellStyle name="Обычный 4 7 3" xfId="389"/>
    <cellStyle name="Обычный 4_КВ Чхім 0108 вар3" xfId="390"/>
    <cellStyle name="Обычный 5" xfId="391"/>
    <cellStyle name="Обычный 5 2" xfId="392"/>
    <cellStyle name="Обычный 5 2 2" xfId="393"/>
    <cellStyle name="Обычный 5 2 3" xfId="394"/>
    <cellStyle name="Обычный 5 3" xfId="395"/>
    <cellStyle name="Обычный 5_КВ Чхім 0108 вар3" xfId="396"/>
    <cellStyle name="Обычный 6" xfId="397"/>
    <cellStyle name="Обычный 6 2" xfId="398"/>
    <cellStyle name="Обычный 6 3" xfId="399"/>
    <cellStyle name="Обычный 7" xfId="400"/>
    <cellStyle name="Обычный 7 2" xfId="401"/>
    <cellStyle name="Обычный 8" xfId="402"/>
    <cellStyle name="Обычный 8 2" xfId="403"/>
    <cellStyle name="Обычный 8 2 2" xfId="404"/>
    <cellStyle name="Обычный 8 3" xfId="405"/>
    <cellStyle name="Обычный 8 4" xfId="406"/>
    <cellStyle name="Обычный 9" xfId="407"/>
    <cellStyle name="Обычный 9 2" xfId="408"/>
    <cellStyle name="Підсумок" xfId="409"/>
    <cellStyle name="Плохой 2" xfId="410"/>
    <cellStyle name="Плохой 2 2" xfId="411"/>
    <cellStyle name="Плохой 2_КВ Чхім 0108 вар3" xfId="412"/>
    <cellStyle name="Плохой 3" xfId="413"/>
    <cellStyle name="Поганий" xfId="414"/>
    <cellStyle name="Пояснение 2" xfId="415"/>
    <cellStyle name="Правка" xfId="416"/>
    <cellStyle name="Примечание 2" xfId="417"/>
    <cellStyle name="Примечание 2 2" xfId="418"/>
    <cellStyle name="Примечание 2_КВ Чхім 0108 вар3" xfId="419"/>
    <cellStyle name="Примечание 3" xfId="420"/>
    <cellStyle name="Примітка" xfId="421"/>
    <cellStyle name="Процентный 2" xfId="422"/>
    <cellStyle name="Процентный 2 2" xfId="423"/>
    <cellStyle name="Процентный 2 2 2" xfId="424"/>
    <cellStyle name="Процентный 2 3" xfId="425"/>
    <cellStyle name="Процентный 3" xfId="426"/>
    <cellStyle name="Процентный 3 2" xfId="427"/>
    <cellStyle name="Процентный 4" xfId="428"/>
    <cellStyle name="Процентный 4 2" xfId="429"/>
    <cellStyle name="Процентный 5" xfId="430"/>
    <cellStyle name="Процентный 5 2" xfId="431"/>
    <cellStyle name="Процентный 6" xfId="432"/>
    <cellStyle name="Процентный 7" xfId="433"/>
    <cellStyle name="Результат 1" xfId="434"/>
    <cellStyle name="Связанная ячейка 2" xfId="435"/>
    <cellStyle name="Связанная ячейка 3" xfId="436"/>
    <cellStyle name="Середній" xfId="437"/>
    <cellStyle name="Текст ведомостей" xfId="438"/>
    <cellStyle name="Текст попередження" xfId="439"/>
    <cellStyle name="Текст пояснення" xfId="440"/>
    <cellStyle name="Текст предупреждения 2" xfId="441"/>
    <cellStyle name="Тысячи [0]_D_Edit (2)" xfId="442"/>
    <cellStyle name="Тысячи_D_Edit (2)" xfId="443"/>
    <cellStyle name="Финансовый [0] 2" xfId="444"/>
    <cellStyle name="Финансовый 2" xfId="445"/>
    <cellStyle name="Финансовый 2 2" xfId="446"/>
    <cellStyle name="Финансовый 2 2 2" xfId="447"/>
    <cellStyle name="Финансовый 2 3" xfId="448"/>
    <cellStyle name="Финансовый 2 4" xfId="449"/>
    <cellStyle name="Финансовый 2 5" xfId="450"/>
    <cellStyle name="Финансовый 2 6" xfId="451"/>
    <cellStyle name="Финансовый 3" xfId="452"/>
    <cellStyle name="Финансовый 3 2" xfId="453"/>
    <cellStyle name="Финансовый 3 3" xfId="454"/>
    <cellStyle name="Финансовый 3 4" xfId="455"/>
    <cellStyle name="Финансовый 4" xfId="456"/>
    <cellStyle name="Финансовый 4 2" xfId="457"/>
    <cellStyle name="Финансовый 4 3" xfId="458"/>
    <cellStyle name="Финансовый 5" xfId="459"/>
    <cellStyle name="Фінансовий 2" xfId="460"/>
    <cellStyle name="Хороший 2" xfId="461"/>
    <cellStyle name="Хороший 2 2" xfId="462"/>
    <cellStyle name="Хороший 2_КВ Чхім 0108 вар3" xfId="463"/>
    <cellStyle name="Хороший 3" xfId="46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HIV\Shostak\&#1058;&#1072;&#1088;&#1080;&#1092;%202021\&#1060;&#1030;&#1053;&#1030;&#1064;%202021%20&#1088;.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HIV\Shostak\&#1058;&#1072;&#1088;&#1080;&#1092;%202021\&#1055;&#1077;&#1088;&#1077;&#1088;&#1072;&#1093;&#1091;&#1085;&#1086;&#1082;%20&#1058;&#1045;\&#1055;&#1077;&#1088;&#1077;&#1088;&#1072;&#1093;&#1091;&#1074;&#1072;&#1085;&#1085;&#1103;%20&#1074;&#1072;&#1088;&#1090;&#1086;&#1089;&#1090;&#1110;%20&#1090;&#1077;&#1087;&#1083;&#1086;&#1074;&#1086;&#1111;%20&#1077;&#1085;&#1077;&#1088;&#1075;&#1110;&#111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</row>
        <row r="5">
          <cell r="B5">
            <v>1</v>
          </cell>
        </row>
        <row r="6">
          <cell r="B6">
            <v>2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Статті витрат (2)"/>
      <sheetName val="Статті витрат"/>
      <sheetName val="Розподіл витрат"/>
      <sheetName val="Д2"/>
      <sheetName val="Д3 "/>
      <sheetName val="Д3.1"/>
      <sheetName val="Д4 "/>
      <sheetName val="Д5"/>
      <sheetName val="5.1"/>
      <sheetName val="Д6"/>
      <sheetName val="Д6.1"/>
      <sheetName val="Д7"/>
      <sheetName val="Д8"/>
      <sheetName val="Д9 "/>
      <sheetName val="додаток 9.1"/>
      <sheetName val="Вода "/>
      <sheetName val="Д10"/>
      <sheetName val="11"/>
      <sheetName val="13"/>
      <sheetName val="13.1"/>
      <sheetName val="14"/>
      <sheetName val="14.1"/>
      <sheetName val="15"/>
      <sheetName val="15.1"/>
      <sheetName val="Втрати Теплової енергії"/>
      <sheetName val="ЦТП"/>
      <sheetName val="Тарифи на ТЕ"/>
      <sheetName val="Тарифи на ТЕ (2)"/>
      <sheetName val="ГВП  (2)"/>
      <sheetName val="ГВП "/>
      <sheetName val="Лист3"/>
      <sheetName val="Порівн. на послуги1"/>
      <sheetName val="Лист1"/>
      <sheetName val="Лист1 (2)"/>
      <sheetName val="Лист2"/>
      <sheetName val="Структура тарифів"/>
      <sheetName val="Лист4"/>
    </sheetNames>
    <sheetDataSet>
      <sheetData sheetId="0"/>
      <sheetData sheetId="1"/>
      <sheetData sheetId="2"/>
      <sheetData sheetId="3">
        <row r="10">
          <cell r="T10">
            <v>46577.772595112066</v>
          </cell>
          <cell r="X10">
            <v>41995.742676174639</v>
          </cell>
          <cell r="AB10">
            <v>4582.0299189374309</v>
          </cell>
        </row>
        <row r="11">
          <cell r="T11">
            <v>774.48128071405233</v>
          </cell>
          <cell r="X11">
            <v>698.2926567809883</v>
          </cell>
          <cell r="AB11">
            <v>76.188623933063994</v>
          </cell>
        </row>
        <row r="12">
          <cell r="T12">
            <v>0</v>
          </cell>
          <cell r="X12">
            <v>0</v>
          </cell>
          <cell r="AB12">
            <v>0</v>
          </cell>
        </row>
        <row r="13">
          <cell r="T13">
            <v>45.243900164646462</v>
          </cell>
          <cell r="X13">
            <v>40.793088271902938</v>
          </cell>
          <cell r="AB13">
            <v>4.450811892743527</v>
          </cell>
        </row>
        <row r="14">
          <cell r="T14">
            <v>3269.1806439036586</v>
          </cell>
          <cell r="X14">
            <v>2947.5791012324303</v>
          </cell>
          <cell r="AB14">
            <v>321.60154267122834</v>
          </cell>
        </row>
        <row r="16">
          <cell r="T16">
            <v>671.75114155407005</v>
          </cell>
          <cell r="X16">
            <v>605.66846612351219</v>
          </cell>
          <cell r="AB16">
            <v>66.082675430557842</v>
          </cell>
        </row>
        <row r="17">
          <cell r="T17">
            <v>413.82890088775008</v>
          </cell>
          <cell r="X17">
            <v>373.11900216263047</v>
          </cell>
          <cell r="AB17">
            <v>40.709898725119615</v>
          </cell>
        </row>
        <row r="18">
          <cell r="T18">
            <v>511.98751504673021</v>
          </cell>
          <cell r="X18">
            <v>461.6213858533232</v>
          </cell>
          <cell r="AB18">
            <v>50.366129193406998</v>
          </cell>
        </row>
        <row r="20">
          <cell r="T20">
            <v>406.82290003927659</v>
          </cell>
          <cell r="X20">
            <v>366.8022078543421</v>
          </cell>
          <cell r="AB20">
            <v>40.020692184934489</v>
          </cell>
        </row>
        <row r="21">
          <cell r="T21">
            <v>88.311334134065206</v>
          </cell>
          <cell r="X21">
            <v>79.623817478834866</v>
          </cell>
          <cell r="AB21">
            <v>8.6875166552303362</v>
          </cell>
        </row>
        <row r="22">
          <cell r="T22">
            <v>84.519999239284914</v>
          </cell>
          <cell r="X22">
            <v>76.205450395796134</v>
          </cell>
          <cell r="AB22">
            <v>8.3145488434887795</v>
          </cell>
        </row>
        <row r="24">
          <cell r="T24">
            <v>1085.1200944632214</v>
          </cell>
          <cell r="X24">
            <v>978.37276711265451</v>
          </cell>
          <cell r="AB24">
            <v>106.74732735056692</v>
          </cell>
        </row>
        <row r="25">
          <cell r="T25">
            <v>230.46254996993324</v>
          </cell>
          <cell r="X25">
            <v>207.79108587189126</v>
          </cell>
          <cell r="AB25">
            <v>22.671464098041984</v>
          </cell>
        </row>
        <row r="26">
          <cell r="T26">
            <v>113.86602814548353</v>
          </cell>
          <cell r="X26">
            <v>102.66460054076528</v>
          </cell>
          <cell r="AB26">
            <v>11.201427604718244</v>
          </cell>
        </row>
        <row r="27">
          <cell r="H27">
            <v>0</v>
          </cell>
          <cell r="X27">
            <v>0</v>
          </cell>
          <cell r="AB27">
            <v>0</v>
          </cell>
        </row>
        <row r="28">
          <cell r="H28">
            <v>0</v>
          </cell>
          <cell r="X28">
            <v>0</v>
          </cell>
          <cell r="AB28">
            <v>0</v>
          </cell>
        </row>
        <row r="30">
          <cell r="H30">
            <v>0</v>
          </cell>
          <cell r="X30">
            <v>0</v>
          </cell>
          <cell r="AB30">
            <v>0</v>
          </cell>
        </row>
        <row r="32">
          <cell r="T32">
            <v>390.76811196029456</v>
          </cell>
          <cell r="X32">
            <v>352.32678940214674</v>
          </cell>
          <cell r="AB32">
            <v>38.441322558147824</v>
          </cell>
        </row>
        <row r="33">
          <cell r="T33">
            <v>0</v>
          </cell>
          <cell r="X33">
            <v>0</v>
          </cell>
          <cell r="AB33">
            <v>0</v>
          </cell>
        </row>
        <row r="34">
          <cell r="T34">
            <v>1780.1658433746754</v>
          </cell>
          <cell r="X34">
            <v>1605.044262832002</v>
          </cell>
          <cell r="AB34">
            <v>175.12158054267343</v>
          </cell>
        </row>
        <row r="35">
          <cell r="H35">
            <v>170984.56542762223</v>
          </cell>
        </row>
        <row r="39">
          <cell r="X39">
            <v>15007.559999999998</v>
          </cell>
          <cell r="AB39">
            <v>1637.43</v>
          </cell>
        </row>
        <row r="40">
          <cell r="X40">
            <v>18446.299465791784</v>
          </cell>
          <cell r="AB40">
            <v>2012.6205815116812</v>
          </cell>
        </row>
      </sheetData>
      <sheetData sheetId="4">
        <row r="12">
          <cell r="J12">
            <v>7263.1948045632107</v>
          </cell>
          <cell r="L12">
            <v>1446.5048218605345</v>
          </cell>
          <cell r="M12">
            <v>157.82381616059476</v>
          </cell>
        </row>
        <row r="13">
          <cell r="J13">
            <v>405.81310999999999</v>
          </cell>
          <cell r="L13">
            <v>80.819892097678746</v>
          </cell>
          <cell r="M13">
            <v>8.8180167807093301</v>
          </cell>
        </row>
        <row r="14">
          <cell r="J14">
            <v>1269.13796</v>
          </cell>
          <cell r="L14">
            <v>252.75574015898138</v>
          </cell>
          <cell r="M14">
            <v>27.577423085999389</v>
          </cell>
        </row>
        <row r="15">
          <cell r="J15">
            <v>5504.1500400000004</v>
          </cell>
          <cell r="L15">
            <v>1096.18147211221</v>
          </cell>
          <cell r="M15">
            <v>119.60108291292498</v>
          </cell>
        </row>
        <row r="17">
          <cell r="J17">
            <v>1201.3375188</v>
          </cell>
          <cell r="L17">
            <v>239.25291285515422</v>
          </cell>
          <cell r="M17">
            <v>26.10416997142875</v>
          </cell>
        </row>
        <row r="18">
          <cell r="J18">
            <v>628.65912000000003</v>
          </cell>
          <cell r="L18">
            <v>125.20088925816538</v>
          </cell>
          <cell r="M18">
            <v>13.660294684678773</v>
          </cell>
        </row>
        <row r="19">
          <cell r="J19">
            <v>1380.5192254367878</v>
          </cell>
          <cell r="L19">
            <v>274.93792607777561</v>
          </cell>
          <cell r="M19">
            <v>29.997655068347701</v>
          </cell>
        </row>
        <row r="21">
          <cell r="J21">
            <v>209.3375569479139</v>
          </cell>
          <cell r="L21">
            <v>41.690715128749979</v>
          </cell>
          <cell r="M21">
            <v>4.5487492752498806</v>
          </cell>
        </row>
        <row r="22">
          <cell r="J22">
            <v>45.442080415461646</v>
          </cell>
          <cell r="L22">
            <v>9.0500379247768787</v>
          </cell>
          <cell r="M22">
            <v>0.98742257896469554</v>
          </cell>
        </row>
        <row r="23">
          <cell r="J23">
            <v>43.491185359239267</v>
          </cell>
          <cell r="L23">
            <v>8.6615065440686809</v>
          </cell>
          <cell r="M23">
            <v>0.94503108169844952</v>
          </cell>
        </row>
        <row r="25">
          <cell r="J25">
            <v>558.3667722443588</v>
          </cell>
          <cell r="L25">
            <v>111.20178518559501</v>
          </cell>
          <cell r="M25">
            <v>12.13289429570489</v>
          </cell>
        </row>
        <row r="26">
          <cell r="J26">
            <v>118.588376352547</v>
          </cell>
          <cell r="L26">
            <v>23.617521328603125</v>
          </cell>
          <cell r="M26">
            <v>2.5768371373557479</v>
          </cell>
        </row>
        <row r="27">
          <cell r="J27">
            <v>58.591677481864409</v>
          </cell>
          <cell r="L27">
            <v>11.668851831588869</v>
          </cell>
          <cell r="M27">
            <v>1.273153534258638</v>
          </cell>
        </row>
        <row r="28">
          <cell r="J28">
            <v>0</v>
          </cell>
          <cell r="L28">
            <v>0</v>
          </cell>
          <cell r="M28">
            <v>0</v>
          </cell>
        </row>
        <row r="29">
          <cell r="L29">
            <v>9487.1666034672198</v>
          </cell>
          <cell r="M29">
            <v>1035.116382111104</v>
          </cell>
        </row>
        <row r="30">
          <cell r="J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L32">
            <v>0</v>
          </cell>
          <cell r="M32">
            <v>0</v>
          </cell>
        </row>
        <row r="34">
          <cell r="J34">
            <v>134.54373187873</v>
          </cell>
          <cell r="L34">
            <v>26.795117321019955</v>
          </cell>
          <cell r="M34">
            <v>2.923535135288994</v>
          </cell>
        </row>
        <row r="35">
          <cell r="J35">
            <v>0</v>
          </cell>
          <cell r="L35">
            <v>0</v>
          </cell>
          <cell r="M35">
            <v>0</v>
          </cell>
        </row>
        <row r="36">
          <cell r="J36">
            <v>612.92144522532544</v>
          </cell>
          <cell r="L36">
            <v>122.06664557353533</v>
          </cell>
          <cell r="M36">
            <v>13.318326727427637</v>
          </cell>
        </row>
        <row r="41">
          <cell r="L41">
            <v>15007.559999999998</v>
          </cell>
          <cell r="M41">
            <v>1637.43</v>
          </cell>
        </row>
      </sheetData>
      <sheetData sheetId="5">
        <row r="12">
          <cell r="J12">
            <v>2875.8348832868287</v>
          </cell>
          <cell r="L12">
            <v>274.6049389556689</v>
          </cell>
          <cell r="M12">
            <v>38.394127842550503</v>
          </cell>
        </row>
        <row r="13">
          <cell r="J13">
            <v>160.68018678225417</v>
          </cell>
          <cell r="L13">
            <v>15.342874216859412</v>
          </cell>
          <cell r="M13">
            <v>2.1451772731930734</v>
          </cell>
        </row>
        <row r="14">
          <cell r="J14">
            <v>502.51044000340221</v>
          </cell>
          <cell r="L14">
            <v>47.983230714556164</v>
          </cell>
          <cell r="M14">
            <v>6.7088170422552906</v>
          </cell>
        </row>
        <row r="15">
          <cell r="J15">
            <v>2179.347671899392</v>
          </cell>
          <cell r="L15">
            <v>208.09944196835266</v>
          </cell>
          <cell r="M15">
            <v>29.095604067726516</v>
          </cell>
        </row>
        <row r="17">
          <cell r="J17">
            <v>475.66510827931063</v>
          </cell>
          <cell r="L17">
            <v>45.419849651832052</v>
          </cell>
          <cell r="M17">
            <v>6.3504156944656556</v>
          </cell>
        </row>
        <row r="18">
          <cell r="J18">
            <v>248.91523298487712</v>
          </cell>
          <cell r="L18">
            <v>23.768176940960657</v>
          </cell>
          <cell r="M18">
            <v>3.3231682850501247</v>
          </cell>
        </row>
        <row r="19">
          <cell r="J19">
            <v>546.61143648039342</v>
          </cell>
          <cell r="L19">
            <v>52.194303998293243</v>
          </cell>
          <cell r="M19">
            <v>7.2975919077949509</v>
          </cell>
        </row>
        <row r="21">
          <cell r="J21">
            <v>82.886424617803939</v>
          </cell>
          <cell r="L21">
            <v>7.9145787210188638</v>
          </cell>
          <cell r="M21">
            <v>1.1065836921592449</v>
          </cell>
        </row>
        <row r="22">
          <cell r="J22">
            <v>17.992622192345124</v>
          </cell>
          <cell r="L22">
            <v>1.7180620999820304</v>
          </cell>
          <cell r="M22">
            <v>0.24021234344514009</v>
          </cell>
        </row>
        <row r="23">
          <cell r="J23">
            <v>17.220172573784531</v>
          </cell>
          <cell r="L23">
            <v>1.6443031781524402</v>
          </cell>
          <cell r="M23">
            <v>0.22989967578146364</v>
          </cell>
        </row>
        <row r="25">
          <cell r="J25">
            <v>221.08324015758868</v>
          </cell>
          <cell r="L25">
            <v>21.110582537412323</v>
          </cell>
          <cell r="M25">
            <v>2.9515944172547108</v>
          </cell>
        </row>
        <row r="26">
          <cell r="J26">
            <v>46.954625153759842</v>
          </cell>
          <cell r="L26">
            <v>4.4835578179293281</v>
          </cell>
          <cell r="M26">
            <v>0.62687252715012287</v>
          </cell>
        </row>
        <row r="27">
          <cell r="J27">
            <v>23.199156088554091</v>
          </cell>
          <cell r="L27">
            <v>2.2152185713247161</v>
          </cell>
          <cell r="M27">
            <v>0.30972270691884235</v>
          </cell>
        </row>
        <row r="28">
          <cell r="J28">
            <v>0</v>
          </cell>
          <cell r="L28">
            <v>0</v>
          </cell>
          <cell r="M28">
            <v>0</v>
          </cell>
        </row>
        <row r="29">
          <cell r="L29">
            <v>1801.046748434939</v>
          </cell>
          <cell r="M29">
            <v>251.81491408275113</v>
          </cell>
        </row>
        <row r="30">
          <cell r="J30">
            <v>740.88018939886808</v>
          </cell>
          <cell r="L30">
            <v>70.74445072132086</v>
          </cell>
          <cell r="M30">
            <v>9.8911967697124901</v>
          </cell>
        </row>
        <row r="31">
          <cell r="J31">
            <v>0</v>
          </cell>
          <cell r="L31">
            <v>0</v>
          </cell>
          <cell r="M31">
            <v>0</v>
          </cell>
        </row>
        <row r="33">
          <cell r="J33">
            <v>0</v>
          </cell>
          <cell r="L33">
            <v>0</v>
          </cell>
          <cell r="M33">
            <v>0</v>
          </cell>
        </row>
        <row r="35">
          <cell r="J35">
            <v>58.606426007274024</v>
          </cell>
          <cell r="L35">
            <v>5.596153704674383</v>
          </cell>
          <cell r="M35">
            <v>0.78243108656729909</v>
          </cell>
        </row>
        <row r="36">
          <cell r="J36">
            <v>0</v>
          </cell>
          <cell r="L36">
            <v>0</v>
          </cell>
          <cell r="M36">
            <v>0</v>
          </cell>
        </row>
        <row r="37">
          <cell r="J37">
            <v>266.98482958869255</v>
          </cell>
          <cell r="L37">
            <v>25.493589099072167</v>
          </cell>
          <cell r="M37">
            <v>3.564408283251026</v>
          </cell>
        </row>
        <row r="42">
          <cell r="J42">
            <v>29836.931000000004</v>
          </cell>
          <cell r="L42">
            <v>2849.04</v>
          </cell>
          <cell r="M42">
            <v>398.34099999999995</v>
          </cell>
        </row>
      </sheetData>
      <sheetData sheetId="6">
        <row r="12">
          <cell r="H12">
            <v>0</v>
          </cell>
          <cell r="J12">
            <v>0</v>
          </cell>
          <cell r="K12">
            <v>0</v>
          </cell>
        </row>
        <row r="13">
          <cell r="H13">
            <v>0</v>
          </cell>
          <cell r="J13">
            <v>0</v>
          </cell>
          <cell r="K13">
            <v>0</v>
          </cell>
        </row>
        <row r="15">
          <cell r="H15">
            <v>0</v>
          </cell>
          <cell r="J15">
            <v>0</v>
          </cell>
          <cell r="K15">
            <v>0</v>
          </cell>
        </row>
        <row r="16">
          <cell r="H16">
            <v>0</v>
          </cell>
          <cell r="J16">
            <v>0</v>
          </cell>
          <cell r="K16">
            <v>0</v>
          </cell>
        </row>
        <row r="17">
          <cell r="H17">
            <v>0</v>
          </cell>
          <cell r="J17">
            <v>0</v>
          </cell>
          <cell r="K17">
            <v>0</v>
          </cell>
        </row>
        <row r="19">
          <cell r="H19">
            <v>7.8869519092982117</v>
          </cell>
          <cell r="J19">
            <v>1.5707294480680105</v>
          </cell>
          <cell r="K19">
            <v>0.171377593702774</v>
          </cell>
        </row>
        <row r="20">
          <cell r="H20">
            <v>1.7120649926395337</v>
          </cell>
          <cell r="J20">
            <v>0.34096707218093636</v>
          </cell>
          <cell r="K20">
            <v>3.7201897776935805E-2</v>
          </cell>
        </row>
        <row r="21">
          <cell r="H21">
            <v>1.6385635354101329</v>
          </cell>
          <cell r="J21">
            <v>0.32632885647050175</v>
          </cell>
          <cell r="K21">
            <v>3.5604765828055579E-2</v>
          </cell>
        </row>
        <row r="23">
          <cell r="H23">
            <v>21.036893449258393</v>
          </cell>
          <cell r="J23">
            <v>4.189611958665969</v>
          </cell>
          <cell r="K23">
            <v>0.45711603415068264</v>
          </cell>
        </row>
        <row r="24">
          <cell r="H24">
            <v>4.4679074072074494</v>
          </cell>
          <cell r="J24">
            <v>0.88980810539345478</v>
          </cell>
          <cell r="K24">
            <v>9.7084301912796281E-2</v>
          </cell>
        </row>
        <row r="25">
          <cell r="H25">
            <v>2.2074860780932566</v>
          </cell>
          <cell r="J25">
            <v>0.43963288085647367</v>
          </cell>
          <cell r="K25">
            <v>4.7967029157359078E-2</v>
          </cell>
        </row>
        <row r="27">
          <cell r="H27">
            <v>516.74692607999998</v>
          </cell>
          <cell r="J27">
            <v>102.91296603895516</v>
          </cell>
          <cell r="K27">
            <v>11.228526021629524</v>
          </cell>
        </row>
        <row r="28">
          <cell r="H28">
            <v>113.68432373760001</v>
          </cell>
          <cell r="J28">
            <v>22.640852528570139</v>
          </cell>
          <cell r="K28">
            <v>2.4702757247584954</v>
          </cell>
        </row>
        <row r="30">
          <cell r="H30">
            <v>34.651879999999885</v>
          </cell>
          <cell r="J30">
            <v>6.901110717151802</v>
          </cell>
          <cell r="K30">
            <v>0.75295955648925461</v>
          </cell>
        </row>
        <row r="31">
          <cell r="H31">
            <v>0</v>
          </cell>
          <cell r="J31">
            <v>0</v>
          </cell>
          <cell r="K31">
            <v>0</v>
          </cell>
        </row>
        <row r="32">
          <cell r="H32">
            <v>0</v>
          </cell>
          <cell r="J32">
            <v>0</v>
          </cell>
          <cell r="K32">
            <v>0</v>
          </cell>
        </row>
        <row r="34">
          <cell r="H34">
            <v>0</v>
          </cell>
          <cell r="J34">
            <v>0</v>
          </cell>
          <cell r="K34">
            <v>0</v>
          </cell>
        </row>
        <row r="36">
          <cell r="H36">
            <v>5.0690375797644514</v>
          </cell>
          <cell r="J36">
            <v>1.0095264547654499</v>
          </cell>
          <cell r="K36">
            <v>0.11014641306292236</v>
          </cell>
        </row>
        <row r="37">
          <cell r="H37">
            <v>0</v>
          </cell>
          <cell r="J37">
            <v>0</v>
          </cell>
          <cell r="K37">
            <v>0</v>
          </cell>
        </row>
        <row r="38">
          <cell r="H38">
            <v>23.092282307815825</v>
          </cell>
          <cell r="J38">
            <v>4.5989538494870468</v>
          </cell>
          <cell r="K38">
            <v>0.50177810395331268</v>
          </cell>
        </row>
        <row r="41">
          <cell r="H41">
            <v>75356.00999999998</v>
          </cell>
          <cell r="J41">
            <v>15007.559999999998</v>
          </cell>
          <cell r="K41">
            <v>1637.43</v>
          </cell>
        </row>
      </sheetData>
      <sheetData sheetId="7">
        <row r="30">
          <cell r="F30">
            <v>12158.519999999997</v>
          </cell>
          <cell r="G30">
            <v>1239.0890000000002</v>
          </cell>
        </row>
      </sheetData>
      <sheetData sheetId="8">
        <row r="30">
          <cell r="F30">
            <v>2849.04</v>
          </cell>
          <cell r="G30">
            <v>398.34099999999995</v>
          </cell>
        </row>
      </sheetData>
      <sheetData sheetId="9">
        <row r="10">
          <cell r="F10">
            <v>2884.5882272281874</v>
          </cell>
        </row>
        <row r="13">
          <cell r="F13">
            <v>-16.239999999999998</v>
          </cell>
        </row>
      </sheetData>
      <sheetData sheetId="10">
        <row r="18">
          <cell r="F18">
            <v>-5.36</v>
          </cell>
          <cell r="G18">
            <v>-5.36</v>
          </cell>
        </row>
        <row r="23">
          <cell r="F23">
            <v>-0.16</v>
          </cell>
          <cell r="G23">
            <v>-0.16</v>
          </cell>
        </row>
      </sheetData>
      <sheetData sheetId="11">
        <row r="15">
          <cell r="G15">
            <v>18446.299465791784</v>
          </cell>
        </row>
        <row r="17">
          <cell r="G17">
            <v>2012.6205815116812</v>
          </cell>
        </row>
        <row r="21">
          <cell r="G21">
            <v>75356.00999999998</v>
          </cell>
        </row>
        <row r="25">
          <cell r="G25">
            <v>15007.559999999998</v>
          </cell>
        </row>
        <row r="27">
          <cell r="G27">
            <v>1637.43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K14">
            <v>182.3817142911696</v>
          </cell>
          <cell r="M14">
            <v>180.84158229116949</v>
          </cell>
        </row>
        <row r="16">
          <cell r="K16">
            <v>11.87</v>
          </cell>
          <cell r="M16">
            <v>11.87</v>
          </cell>
        </row>
        <row r="18">
          <cell r="K18">
            <v>5.7387508975861543</v>
          </cell>
          <cell r="M18">
            <v>5.7387508975861508</v>
          </cell>
        </row>
        <row r="19">
          <cell r="K19">
            <v>4.7057757360206462</v>
          </cell>
          <cell r="M19">
            <v>4.7057757360206436</v>
          </cell>
        </row>
        <row r="20">
          <cell r="K20">
            <v>1.0329751615655081</v>
          </cell>
          <cell r="M20">
            <v>1.0329751615655072</v>
          </cell>
        </row>
        <row r="55">
          <cell r="K55">
            <v>183.60588152664585</v>
          </cell>
          <cell r="M55">
            <v>182.0657495266457</v>
          </cell>
        </row>
        <row r="57">
          <cell r="K57">
            <v>11.87</v>
          </cell>
          <cell r="M57">
            <v>11.87</v>
          </cell>
        </row>
        <row r="59">
          <cell r="K59">
            <v>5.7877175870052024</v>
          </cell>
        </row>
        <row r="60">
          <cell r="K60">
            <v>4.7459284213442654</v>
          </cell>
          <cell r="M60">
            <v>4.7459284213442618</v>
          </cell>
        </row>
        <row r="61">
          <cell r="K61">
            <v>1.0417891656609373</v>
          </cell>
          <cell r="M61">
            <v>1.0417891656609359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1 (2)"/>
      <sheetName val="Лист1 (3)"/>
      <sheetName val="Планові грошові доходи"/>
      <sheetName val="Планові грошові доходи (2)"/>
      <sheetName val="Фактичні грошові доходи 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F20">
            <v>-1223.8154371919804</v>
          </cell>
          <cell r="H20">
            <v>-16.240448999250106</v>
          </cell>
        </row>
        <row r="22">
          <cell r="F22">
            <v>-160.06671883078423</v>
          </cell>
        </row>
        <row r="23">
          <cell r="F23">
            <v>-12.422055482777408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G4" t="str">
            <v>вибрати</v>
          </cell>
        </row>
        <row r="5">
          <cell r="G5" t="str">
            <v>наявний</v>
          </cell>
        </row>
        <row r="6">
          <cell r="G6" t="str">
            <v>відсутній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441"/>
  <sheetViews>
    <sheetView tabSelected="1" topLeftCell="A150" workbookViewId="0">
      <selection activeCell="A113" sqref="A1:A1048576"/>
    </sheetView>
  </sheetViews>
  <sheetFormatPr defaultRowHeight="12.75"/>
  <cols>
    <col min="1" max="1" width="14.28515625" style="144" bestFit="1" customWidth="1"/>
    <col min="2" max="2" width="6.5703125" style="1" customWidth="1"/>
    <col min="3" max="3" width="33.140625" style="1" customWidth="1"/>
    <col min="4" max="4" width="13.42578125" style="1" customWidth="1"/>
    <col min="5" max="5" width="16.28515625" style="1" customWidth="1"/>
    <col min="6" max="7" width="16" style="1" customWidth="1"/>
    <col min="8" max="16384" width="9.140625" style="1"/>
  </cols>
  <sheetData>
    <row r="2" spans="1:7">
      <c r="C2" s="2"/>
      <c r="E2" s="2"/>
      <c r="F2" s="2" t="s">
        <v>0</v>
      </c>
      <c r="G2" s="2"/>
    </row>
    <row r="4" spans="1:7">
      <c r="C4" s="2"/>
      <c r="E4" s="2" t="s">
        <v>1</v>
      </c>
      <c r="F4" s="2"/>
      <c r="G4" s="2"/>
    </row>
    <row r="5" spans="1:7">
      <c r="C5" s="2"/>
      <c r="E5" s="2" t="s">
        <v>2</v>
      </c>
      <c r="F5" s="2"/>
      <c r="G5" s="2"/>
    </row>
    <row r="6" spans="1:7">
      <c r="C6" s="2"/>
      <c r="E6" s="2" t="s">
        <v>163</v>
      </c>
      <c r="F6" s="3"/>
      <c r="G6" s="3"/>
    </row>
    <row r="7" spans="1:7">
      <c r="F7" s="2"/>
      <c r="G7" s="2"/>
    </row>
    <row r="8" spans="1:7" ht="15" customHeight="1">
      <c r="E8" s="2"/>
      <c r="F8" s="4"/>
      <c r="G8" s="4"/>
    </row>
    <row r="9" spans="1:7" ht="33" customHeight="1">
      <c r="B9" s="148" t="s">
        <v>3</v>
      </c>
      <c r="C9" s="148"/>
      <c r="D9" s="148"/>
      <c r="E9" s="148"/>
      <c r="F9" s="148"/>
      <c r="G9" s="5"/>
    </row>
    <row r="10" spans="1:7" ht="12.75" customHeight="1">
      <c r="B10" s="3"/>
      <c r="C10" s="3"/>
      <c r="D10" s="3"/>
      <c r="E10" s="3"/>
      <c r="F10" s="6"/>
      <c r="G10" s="6"/>
    </row>
    <row r="11" spans="1:7" ht="18" customHeight="1">
      <c r="B11" s="150" t="s">
        <v>4</v>
      </c>
      <c r="C11" s="150" t="s">
        <v>5</v>
      </c>
      <c r="D11" s="157" t="s">
        <v>6</v>
      </c>
      <c r="E11" s="163" t="s">
        <v>7</v>
      </c>
      <c r="F11" s="163"/>
      <c r="G11" s="7"/>
    </row>
    <row r="12" spans="1:7" ht="66.75" customHeight="1">
      <c r="B12" s="156"/>
      <c r="C12" s="151"/>
      <c r="D12" s="158"/>
      <c r="E12" s="8" t="s">
        <v>8</v>
      </c>
      <c r="F12" s="9" t="s">
        <v>9</v>
      </c>
      <c r="G12" s="10"/>
    </row>
    <row r="13" spans="1:7">
      <c r="B13" s="11">
        <v>1</v>
      </c>
      <c r="C13" s="11">
        <v>2</v>
      </c>
      <c r="D13" s="11">
        <v>3</v>
      </c>
      <c r="E13" s="11">
        <v>4</v>
      </c>
      <c r="F13" s="11">
        <v>5</v>
      </c>
      <c r="G13" s="12"/>
    </row>
    <row r="14" spans="1:7">
      <c r="B14" s="11"/>
      <c r="C14" s="11"/>
      <c r="D14" s="11"/>
      <c r="E14" s="11"/>
      <c r="F14" s="11"/>
      <c r="G14" s="12"/>
    </row>
    <row r="15" spans="1:7">
      <c r="A15" s="143">
        <f>D19+D34+D43</f>
        <v>56444.282838709223</v>
      </c>
      <c r="B15" s="13" t="s">
        <v>10</v>
      </c>
      <c r="C15" s="14" t="s">
        <v>11</v>
      </c>
      <c r="D15" s="15">
        <f>D19+D34+D41+D42+D43+D47</f>
        <v>69050.55288182068</v>
      </c>
      <c r="E15" s="15">
        <f t="shared" ref="E15:F15" si="0">E19+E34+E41+E42+E43+E47</f>
        <v>3461.5058726738239</v>
      </c>
      <c r="F15" s="15">
        <f t="shared" si="0"/>
        <v>3431.7933338747221</v>
      </c>
      <c r="G15" s="140">
        <f>[12]Д6!F10*1.2</f>
        <v>3461.5058726738248</v>
      </c>
    </row>
    <row r="16" spans="1:7">
      <c r="A16" s="143">
        <f>[12]Д2!H35</f>
        <v>170984.56542762223</v>
      </c>
      <c r="B16" s="11"/>
      <c r="C16" s="11" t="s">
        <v>12</v>
      </c>
      <c r="D16" s="11"/>
      <c r="E16" s="11"/>
      <c r="F16" s="11"/>
      <c r="G16" s="12"/>
    </row>
    <row r="17" spans="1:7">
      <c r="A17" s="145"/>
      <c r="B17" s="11" t="s">
        <v>13</v>
      </c>
      <c r="C17" s="146" t="s">
        <v>14</v>
      </c>
      <c r="D17" s="147"/>
      <c r="E17" s="147"/>
      <c r="F17" s="155"/>
      <c r="G17" s="16"/>
    </row>
    <row r="18" spans="1:7">
      <c r="A18" s="119"/>
      <c r="B18" s="11"/>
      <c r="C18" s="11"/>
      <c r="D18" s="11"/>
      <c r="E18" s="11"/>
      <c r="F18" s="11"/>
      <c r="G18" s="12"/>
    </row>
    <row r="19" spans="1:7">
      <c r="A19" s="119"/>
      <c r="B19" s="18">
        <v>1</v>
      </c>
      <c r="C19" s="19" t="s">
        <v>15</v>
      </c>
      <c r="D19" s="20">
        <f>D20+D25+D26+D30</f>
        <v>52843.900210795611</v>
      </c>
      <c r="E19" s="20">
        <f t="shared" ref="E19:F19" si="1">E20+E25+E26+E30</f>
        <v>2582.9271578663092</v>
      </c>
      <c r="F19" s="20">
        <f t="shared" si="1"/>
        <v>2582.9271578663083</v>
      </c>
      <c r="G19" s="21"/>
    </row>
    <row r="20" spans="1:7">
      <c r="B20" s="22" t="s">
        <v>16</v>
      </c>
      <c r="C20" s="23" t="s">
        <v>17</v>
      </c>
      <c r="D20" s="20">
        <f>SUM(D21:D24)</f>
        <v>47397.497775990771</v>
      </c>
      <c r="E20" s="20">
        <f t="shared" ref="E20:F20" si="2">SUM(E21:E24)</f>
        <v>2316.7155287963437</v>
      </c>
      <c r="F20" s="20">
        <f t="shared" si="2"/>
        <v>2316.7155287963428</v>
      </c>
      <c r="G20" s="21"/>
    </row>
    <row r="21" spans="1:7" ht="17.25" customHeight="1">
      <c r="B21" s="24" t="s">
        <v>18</v>
      </c>
      <c r="C21" s="25" t="s">
        <v>19</v>
      </c>
      <c r="D21" s="26">
        <f>[12]Д2!T10</f>
        <v>46577.772595112066</v>
      </c>
      <c r="E21" s="27">
        <f>[12]Д2!X10/[12]Д2!$X$40*1000</f>
        <v>2276.6486445725727</v>
      </c>
      <c r="F21" s="27">
        <f>[12]Д2!AB10/[12]Д2!$AB$40*1000</f>
        <v>2276.6486445725718</v>
      </c>
      <c r="G21" s="28"/>
    </row>
    <row r="22" spans="1:7" ht="13.5" customHeight="1">
      <c r="B22" s="24" t="s">
        <v>20</v>
      </c>
      <c r="C22" s="29" t="s">
        <v>21</v>
      </c>
      <c r="D22" s="26">
        <f>[12]Д2!T11</f>
        <v>774.48128071405233</v>
      </c>
      <c r="E22" s="27">
        <f>[12]Д2!X11/[12]Д2!$X$40*1000</f>
        <v>37.855433176499986</v>
      </c>
      <c r="F22" s="27">
        <f>[12]Д2!AB11/[12]Д2!$AB$40*1000</f>
        <v>37.855433176499986</v>
      </c>
      <c r="G22" s="28"/>
    </row>
    <row r="23" spans="1:7" ht="24" customHeight="1">
      <c r="B23" s="24" t="s">
        <v>22</v>
      </c>
      <c r="C23" s="30" t="s">
        <v>23</v>
      </c>
      <c r="D23" s="26">
        <f>[12]Д2!T12</f>
        <v>0</v>
      </c>
      <c r="E23" s="31">
        <f>[12]Д2!X12/[12]Д2!$X$40*1000</f>
        <v>0</v>
      </c>
      <c r="F23" s="31">
        <f>[12]Д2!AB12/[12]Д2!$AB$40*1000</f>
        <v>0</v>
      </c>
      <c r="G23" s="32"/>
    </row>
    <row r="24" spans="1:7" ht="23.25" customHeight="1">
      <c r="B24" s="24" t="s">
        <v>24</v>
      </c>
      <c r="C24" s="30" t="s">
        <v>25</v>
      </c>
      <c r="D24" s="26">
        <f>[12]Д2!T13</f>
        <v>45.243900164646462</v>
      </c>
      <c r="E24" s="31">
        <f>[12]Д2!X13/[12]Д2!$X$40*1000</f>
        <v>2.2114510472711739</v>
      </c>
      <c r="F24" s="31">
        <f>[12]Д2!AB13/[12]Д2!$AB$40*1000</f>
        <v>2.2114510472711739</v>
      </c>
      <c r="G24" s="32"/>
    </row>
    <row r="25" spans="1:7" ht="15" customHeight="1">
      <c r="B25" s="22" t="s">
        <v>26</v>
      </c>
      <c r="C25" s="33" t="s">
        <v>27</v>
      </c>
      <c r="D25" s="34">
        <f>[12]Д2!T14</f>
        <v>3269.1806439036586</v>
      </c>
      <c r="E25" s="20">
        <f>[12]Д2!X14/[12]Д2!$X$40*1000</f>
        <v>159.79243461262485</v>
      </c>
      <c r="F25" s="20">
        <f>[12]Д2!AB14/[12]Д2!$AB$40*1000</f>
        <v>159.79243461262487</v>
      </c>
      <c r="G25" s="21"/>
    </row>
    <row r="26" spans="1:7" ht="12.75" customHeight="1">
      <c r="B26" s="22" t="s">
        <v>28</v>
      </c>
      <c r="C26" s="35" t="s">
        <v>29</v>
      </c>
      <c r="D26" s="20">
        <f>SUM(D27:D29)</f>
        <v>1597.5675574885504</v>
      </c>
      <c r="E26" s="20">
        <f t="shared" ref="E26:F26" si="3">SUM(E27:E29)</f>
        <v>78.086602508577357</v>
      </c>
      <c r="F26" s="20">
        <f t="shared" si="3"/>
        <v>78.086602508577357</v>
      </c>
      <c r="G26" s="21"/>
    </row>
    <row r="27" spans="1:7" ht="12.75" customHeight="1">
      <c r="B27" s="24" t="s">
        <v>30</v>
      </c>
      <c r="C27" s="36" t="s">
        <v>31</v>
      </c>
      <c r="D27" s="26">
        <f>[12]Д2!T16</f>
        <v>671.75114155407005</v>
      </c>
      <c r="E27" s="27">
        <f>[12]Д2!X16/[12]Д2!$X$40*1000</f>
        <v>32.834144715405372</v>
      </c>
      <c r="F27" s="27">
        <f>[12]Д2!AB16/[12]Д2!$AB$40*1000</f>
        <v>32.834144715405372</v>
      </c>
      <c r="G27" s="28"/>
    </row>
    <row r="28" spans="1:7" ht="15" customHeight="1">
      <c r="B28" s="24" t="s">
        <v>32</v>
      </c>
      <c r="C28" s="36" t="s">
        <v>33</v>
      </c>
      <c r="D28" s="26">
        <f>[12]Д2!T17</f>
        <v>413.82890088775008</v>
      </c>
      <c r="E28" s="27">
        <f>[12]Д2!X17/[12]Д2!$X$40*1000</f>
        <v>20.227309160548469</v>
      </c>
      <c r="F28" s="27">
        <f>[12]Д2!AB17/[12]Д2!$AB$40*1000</f>
        <v>20.227309160548469</v>
      </c>
      <c r="G28" s="28"/>
    </row>
    <row r="29" spans="1:7" ht="12" customHeight="1">
      <c r="B29" s="24" t="s">
        <v>34</v>
      </c>
      <c r="C29" s="30" t="s">
        <v>35</v>
      </c>
      <c r="D29" s="26">
        <f>[12]Д2!T18</f>
        <v>511.98751504673021</v>
      </c>
      <c r="E29" s="27">
        <f>[12]Д2!X18/[12]Д2!$X$40*1000</f>
        <v>25.025148632623516</v>
      </c>
      <c r="F29" s="27">
        <f>[12]Д2!AB18/[12]Д2!$AB$40*1000</f>
        <v>25.025148632623516</v>
      </c>
      <c r="G29" s="28"/>
    </row>
    <row r="30" spans="1:7" ht="21" customHeight="1">
      <c r="B30" s="22" t="s">
        <v>36</v>
      </c>
      <c r="C30" s="33" t="s">
        <v>37</v>
      </c>
      <c r="D30" s="20">
        <f>SUM(D31:D33)</f>
        <v>579.6542334126267</v>
      </c>
      <c r="E30" s="20">
        <f t="shared" ref="E30:F30" si="4">SUM(E31:E33)</f>
        <v>28.332591948763518</v>
      </c>
      <c r="F30" s="20">
        <f t="shared" si="4"/>
        <v>28.332591948763518</v>
      </c>
      <c r="G30" s="21"/>
    </row>
    <row r="31" spans="1:7" ht="15" customHeight="1">
      <c r="B31" s="24" t="s">
        <v>38</v>
      </c>
      <c r="C31" s="37" t="s">
        <v>27</v>
      </c>
      <c r="D31" s="26">
        <f>[12]Д2!T20</f>
        <v>406.82290003927659</v>
      </c>
      <c r="E31" s="27">
        <f>[12]Д2!X20/[12]Д2!$X$40*1000</f>
        <v>19.884866801309819</v>
      </c>
      <c r="F31" s="27">
        <f>[12]Д2!AB20/[12]Д2!$AB$40*1000</f>
        <v>19.884866801309819</v>
      </c>
      <c r="G31" s="28"/>
    </row>
    <row r="32" spans="1:7" ht="13.5" customHeight="1">
      <c r="B32" s="24" t="s">
        <v>39</v>
      </c>
      <c r="C32" s="36" t="s">
        <v>31</v>
      </c>
      <c r="D32" s="26">
        <f>[12]Д2!T21</f>
        <v>88.311334134065206</v>
      </c>
      <c r="E32" s="27">
        <f>[12]Д2!X21/[12]Д2!$X$40*1000</f>
        <v>4.3165198324192504</v>
      </c>
      <c r="F32" s="27">
        <f>[12]Д2!AB21/[12]Д2!$AB$40*1000</f>
        <v>4.3165198324192504</v>
      </c>
      <c r="G32" s="28"/>
    </row>
    <row r="33" spans="2:7">
      <c r="B33" s="24" t="s">
        <v>40</v>
      </c>
      <c r="C33" s="30" t="s">
        <v>41</v>
      </c>
      <c r="D33" s="26">
        <f>[12]Д2!T22</f>
        <v>84.519999239284914</v>
      </c>
      <c r="E33" s="27">
        <f>[12]Д2!X22/[12]Д2!$X$40*1000</f>
        <v>4.1312053150344488</v>
      </c>
      <c r="F33" s="27">
        <f>[12]Д2!AB22/[12]Д2!$AB$40*1000</f>
        <v>4.1312053150344488</v>
      </c>
      <c r="G33" s="28"/>
    </row>
    <row r="34" spans="2:7" ht="19.5" customHeight="1">
      <c r="B34" s="22" t="s">
        <v>42</v>
      </c>
      <c r="C34" s="33" t="s">
        <v>43</v>
      </c>
      <c r="D34" s="20">
        <f>SUM(D35:D37)</f>
        <v>1429.4486725786383</v>
      </c>
      <c r="E34" s="20">
        <f t="shared" ref="E34:F34" si="5">SUM(E35:E37)</f>
        <v>69.869214468485239</v>
      </c>
      <c r="F34" s="20">
        <f t="shared" si="5"/>
        <v>69.869214468485239</v>
      </c>
      <c r="G34" s="21"/>
    </row>
    <row r="35" spans="2:7" ht="15" customHeight="1">
      <c r="B35" s="24" t="s">
        <v>44</v>
      </c>
      <c r="C35" s="37" t="s">
        <v>27</v>
      </c>
      <c r="D35" s="26">
        <f>[12]Д2!T24</f>
        <v>1085.1200944632214</v>
      </c>
      <c r="E35" s="27">
        <f>[12]Д2!X24/[12]Д2!$X$40*1000</f>
        <v>53.038972338436935</v>
      </c>
      <c r="F35" s="27">
        <f>[12]Д2!AB24/[12]Д2!$AB$40*1000</f>
        <v>53.038972338436935</v>
      </c>
      <c r="G35" s="28"/>
    </row>
    <row r="36" spans="2:7" ht="12.75" customHeight="1">
      <c r="B36" s="24" t="s">
        <v>45</v>
      </c>
      <c r="C36" s="36" t="s">
        <v>31</v>
      </c>
      <c r="D36" s="26">
        <f>[12]Д2!T25</f>
        <v>230.46254996993324</v>
      </c>
      <c r="E36" s="27">
        <f>[12]Д2!X25/[12]Д2!$X$40*1000</f>
        <v>11.264648839580794</v>
      </c>
      <c r="F36" s="27">
        <f>[12]Д2!AB25/[12]Д2!$AB$40*1000</f>
        <v>11.264648839580794</v>
      </c>
      <c r="G36" s="28"/>
    </row>
    <row r="37" spans="2:7">
      <c r="B37" s="24" t="s">
        <v>46</v>
      </c>
      <c r="C37" s="30" t="s">
        <v>41</v>
      </c>
      <c r="D37" s="26">
        <f>[12]Д2!T26</f>
        <v>113.86602814548353</v>
      </c>
      <c r="E37" s="27">
        <f>[12]Д2!X26/[12]Д2!$X$40*1000</f>
        <v>5.5655932904675165</v>
      </c>
      <c r="F37" s="27">
        <f>[12]Д2!AB26/[12]Д2!$AB$40*1000</f>
        <v>5.5655932904675165</v>
      </c>
      <c r="G37" s="28"/>
    </row>
    <row r="38" spans="2:7">
      <c r="B38" s="38" t="s">
        <v>47</v>
      </c>
      <c r="C38" s="39" t="s">
        <v>48</v>
      </c>
      <c r="D38" s="26">
        <f>[12]Д2!H27</f>
        <v>0</v>
      </c>
      <c r="E38" s="27">
        <f>[12]Д2!X27/[12]Д2!$X$40*1000</f>
        <v>0</v>
      </c>
      <c r="F38" s="27">
        <f>[12]Д2!AB27/[12]Д2!$AB$40*1000</f>
        <v>0</v>
      </c>
      <c r="G38" s="28"/>
    </row>
    <row r="39" spans="2:7" ht="13.5" customHeight="1">
      <c r="B39" s="22" t="s">
        <v>49</v>
      </c>
      <c r="C39" s="35" t="s">
        <v>50</v>
      </c>
      <c r="D39" s="34">
        <f>[12]Д2!H28</f>
        <v>0</v>
      </c>
      <c r="E39" s="20">
        <f>[12]Д2!X28/[12]Д2!$X$40*1000</f>
        <v>0</v>
      </c>
      <c r="F39" s="20">
        <f>[12]Д2!AB28/[12]Д2!$AB$40*1000</f>
        <v>0</v>
      </c>
      <c r="G39" s="21"/>
    </row>
    <row r="40" spans="2:7" ht="12.75" customHeight="1">
      <c r="B40" s="22" t="s">
        <v>51</v>
      </c>
      <c r="C40" s="40" t="s">
        <v>52</v>
      </c>
      <c r="D40" s="34">
        <f>[12]Д2!H30</f>
        <v>0</v>
      </c>
      <c r="E40" s="20">
        <f>[12]Д2!X30/[12]Д2!$X$40*1000</f>
        <v>0</v>
      </c>
      <c r="F40" s="20">
        <f>[12]Д2!AB30/[12]Д2!$AB$40*1000</f>
        <v>0</v>
      </c>
      <c r="G40" s="21"/>
    </row>
    <row r="41" spans="2:7" ht="12.75" customHeight="1">
      <c r="B41" s="22" t="s">
        <v>53</v>
      </c>
      <c r="C41" s="40" t="s">
        <v>54</v>
      </c>
      <c r="D41" s="34">
        <f>[13]Лист3!$F$20</f>
        <v>-1223.8154371919804</v>
      </c>
      <c r="E41" s="20">
        <f>[12]Д6!F13</f>
        <v>-16.239999999999998</v>
      </c>
      <c r="F41" s="20">
        <f>[13]Лист3!$H$20</f>
        <v>-16.240448999250106</v>
      </c>
      <c r="G41" s="21"/>
    </row>
    <row r="42" spans="2:7" ht="27" customHeight="1">
      <c r="B42" s="22" t="s">
        <v>55</v>
      </c>
      <c r="C42" s="41" t="s">
        <v>56</v>
      </c>
      <c r="D42" s="34">
        <v>2321.66</v>
      </c>
      <c r="E42" s="42">
        <v>141.91999999999999</v>
      </c>
      <c r="F42" s="42">
        <v>117.16</v>
      </c>
      <c r="G42" s="43"/>
    </row>
    <row r="43" spans="2:7" ht="21" customHeight="1">
      <c r="B43" s="44" t="s">
        <v>57</v>
      </c>
      <c r="C43" s="40" t="s">
        <v>58</v>
      </c>
      <c r="D43" s="20">
        <f>SUM(D44:D46)</f>
        <v>2170.9339553349701</v>
      </c>
      <c r="E43" s="20">
        <f>SUM(E44:E46)</f>
        <v>106.11185489339181</v>
      </c>
      <c r="F43" s="20">
        <f>SUM(F44:F46)</f>
        <v>106.11185489339177</v>
      </c>
      <c r="G43" s="21"/>
    </row>
    <row r="44" spans="2:7" ht="15.75" customHeight="1">
      <c r="B44" s="38" t="s">
        <v>59</v>
      </c>
      <c r="C44" s="39" t="s">
        <v>60</v>
      </c>
      <c r="D44" s="26">
        <f>[12]Д2!T32</f>
        <v>390.76811196029456</v>
      </c>
      <c r="E44" s="27">
        <f>[12]Д2!X32/[12]Д2!$X$40*1000</f>
        <v>19.100133880810525</v>
      </c>
      <c r="F44" s="27">
        <f>[12]Д2!AB32/[12]Д2!$AB$40*1000</f>
        <v>19.100133880810517</v>
      </c>
      <c r="G44" s="28"/>
    </row>
    <row r="45" spans="2:7" ht="21.75" customHeight="1">
      <c r="B45" s="38" t="s">
        <v>61</v>
      </c>
      <c r="C45" s="39" t="s">
        <v>62</v>
      </c>
      <c r="D45" s="26">
        <f>[12]Д2!T33</f>
        <v>0</v>
      </c>
      <c r="E45" s="31">
        <f>[12]Д2!X33/[12]Д2!$X$40*1000</f>
        <v>0</v>
      </c>
      <c r="F45" s="31">
        <f>[12]Д2!AB33/[12]Д2!$AB$40*1000</f>
        <v>0</v>
      </c>
      <c r="G45" s="32"/>
    </row>
    <row r="46" spans="2:7" ht="14.25" customHeight="1">
      <c r="B46" s="38" t="s">
        <v>63</v>
      </c>
      <c r="C46" s="39" t="s">
        <v>64</v>
      </c>
      <c r="D46" s="26">
        <f>[12]Д2!T34</f>
        <v>1780.1658433746754</v>
      </c>
      <c r="E46" s="27">
        <f>[12]Д2!X34/[12]Д2!$X$40*1000</f>
        <v>87.01172101258129</v>
      </c>
      <c r="F46" s="27">
        <f>[12]Д2!AB34/[12]Д2!$AB$40*1000</f>
        <v>87.011721012581248</v>
      </c>
      <c r="G46" s="28"/>
    </row>
    <row r="47" spans="2:7">
      <c r="B47" s="22" t="s">
        <v>65</v>
      </c>
      <c r="C47" s="45" t="s">
        <v>66</v>
      </c>
      <c r="D47" s="46">
        <f>(D19+D34+D41+D42+D43)*0.2</f>
        <v>11508.425480303449</v>
      </c>
      <c r="E47" s="46">
        <f t="shared" ref="E47:F47" si="6">(E19+E34+E41+E42+E43)*0.2</f>
        <v>576.91764544563728</v>
      </c>
      <c r="F47" s="46">
        <f t="shared" si="6"/>
        <v>571.96555564578705</v>
      </c>
      <c r="G47" s="47"/>
    </row>
    <row r="48" spans="2:7" ht="22.5" customHeight="1">
      <c r="B48" s="48" t="s">
        <v>67</v>
      </c>
      <c r="C48" s="40" t="s">
        <v>68</v>
      </c>
      <c r="D48" s="49">
        <f>SUM(E48:F48)</f>
        <v>20458.920047303465</v>
      </c>
      <c r="E48" s="42">
        <f>[12]Д7!G15</f>
        <v>18446.299465791784</v>
      </c>
      <c r="F48" s="42">
        <f>[12]Д7!G17</f>
        <v>2012.6205815116812</v>
      </c>
      <c r="G48" s="43"/>
    </row>
    <row r="49" spans="2:7">
      <c r="B49" s="3"/>
      <c r="C49" s="3"/>
      <c r="D49" s="3"/>
      <c r="E49" s="50">
        <f t="shared" ref="E49:F49" si="7">E19+E34+E43+E41+E42</f>
        <v>2884.5882272281865</v>
      </c>
      <c r="F49" s="50">
        <f t="shared" si="7"/>
        <v>2859.8277782289351</v>
      </c>
      <c r="G49" s="50"/>
    </row>
    <row r="50" spans="2:7">
      <c r="B50" s="3"/>
      <c r="C50" s="3"/>
      <c r="D50" s="3"/>
      <c r="E50" s="3"/>
      <c r="F50" s="6"/>
      <c r="G50" s="6"/>
    </row>
    <row r="51" spans="2:7">
      <c r="B51" s="3"/>
      <c r="C51" s="3"/>
      <c r="D51" s="3"/>
      <c r="E51" s="51"/>
      <c r="F51" s="6"/>
      <c r="G51" s="6"/>
    </row>
    <row r="52" spans="2:7" ht="14.25">
      <c r="B52" s="52" t="s">
        <v>69</v>
      </c>
      <c r="D52" s="52"/>
      <c r="F52" s="53" t="s">
        <v>70</v>
      </c>
      <c r="G52" s="53"/>
    </row>
    <row r="53" spans="2:7" ht="14.25">
      <c r="B53" s="3"/>
      <c r="C53" s="52"/>
      <c r="D53" s="52"/>
      <c r="E53" s="3"/>
      <c r="F53" s="6"/>
      <c r="G53" s="6"/>
    </row>
    <row r="54" spans="2:7" ht="14.25">
      <c r="B54" s="3"/>
      <c r="C54" s="52"/>
      <c r="D54" s="52"/>
      <c r="E54" s="3"/>
      <c r="F54" s="6"/>
      <c r="G54" s="6"/>
    </row>
    <row r="55" spans="2:7" ht="14.25">
      <c r="B55" s="3"/>
      <c r="C55" s="52"/>
      <c r="D55" s="52"/>
      <c r="E55" s="2"/>
      <c r="F55" s="2" t="s">
        <v>71</v>
      </c>
      <c r="G55" s="3"/>
    </row>
    <row r="56" spans="2:7" ht="14.25">
      <c r="B56" s="3"/>
      <c r="C56" s="52"/>
      <c r="D56" s="52"/>
      <c r="G56" s="3"/>
    </row>
    <row r="57" spans="2:7">
      <c r="B57" s="3"/>
      <c r="C57" s="2"/>
      <c r="D57" s="2"/>
      <c r="E57" s="2" t="s">
        <v>1</v>
      </c>
      <c r="F57" s="2"/>
      <c r="G57" s="2"/>
    </row>
    <row r="58" spans="2:7">
      <c r="B58" s="3"/>
      <c r="E58" s="2" t="s">
        <v>2</v>
      </c>
      <c r="F58" s="2"/>
      <c r="G58" s="3"/>
    </row>
    <row r="59" spans="2:7" ht="15" customHeight="1">
      <c r="B59" s="3"/>
      <c r="E59" s="2" t="s">
        <v>163</v>
      </c>
      <c r="F59" s="3"/>
      <c r="G59" s="6"/>
    </row>
    <row r="60" spans="2:7" ht="15" customHeight="1">
      <c r="B60" s="3"/>
      <c r="E60" s="2"/>
      <c r="F60" s="3"/>
      <c r="G60" s="6"/>
    </row>
    <row r="61" spans="2:7" ht="15" customHeight="1">
      <c r="B61" s="3"/>
      <c r="E61" s="2"/>
      <c r="F61" s="3"/>
      <c r="G61" s="6"/>
    </row>
    <row r="62" spans="2:7" ht="49.5" customHeight="1">
      <c r="B62" s="148" t="s">
        <v>72</v>
      </c>
      <c r="C62" s="148"/>
      <c r="D62" s="148"/>
      <c r="E62" s="148"/>
      <c r="F62" s="148"/>
      <c r="G62" s="5"/>
    </row>
    <row r="63" spans="2:7">
      <c r="B63" s="3"/>
      <c r="C63" s="3"/>
      <c r="D63" s="3"/>
      <c r="E63" s="3"/>
      <c r="F63" s="6"/>
      <c r="G63" s="6"/>
    </row>
    <row r="64" spans="2:7" ht="12.75" customHeight="1">
      <c r="B64" s="150" t="s">
        <v>4</v>
      </c>
      <c r="C64" s="150" t="s">
        <v>5</v>
      </c>
      <c r="D64" s="157" t="s">
        <v>6</v>
      </c>
      <c r="E64" s="153" t="s">
        <v>7</v>
      </c>
      <c r="F64" s="154"/>
      <c r="G64" s="54"/>
    </row>
    <row r="65" spans="1:7" ht="60" customHeight="1">
      <c r="B65" s="156"/>
      <c r="C65" s="151"/>
      <c r="D65" s="158"/>
      <c r="E65" s="8" t="s">
        <v>8</v>
      </c>
      <c r="F65" s="9" t="s">
        <v>9</v>
      </c>
      <c r="G65" s="10"/>
    </row>
    <row r="66" spans="1:7">
      <c r="B66" s="11">
        <v>1</v>
      </c>
      <c r="C66" s="11">
        <v>2</v>
      </c>
      <c r="D66" s="11">
        <v>3</v>
      </c>
      <c r="E66" s="11">
        <v>4</v>
      </c>
      <c r="F66" s="11">
        <v>5</v>
      </c>
      <c r="G66" s="12"/>
    </row>
    <row r="67" spans="1:7">
      <c r="B67" s="11"/>
      <c r="C67" s="11"/>
      <c r="D67" s="11"/>
      <c r="E67" s="11"/>
      <c r="F67" s="11"/>
      <c r="G67" s="12"/>
    </row>
    <row r="68" spans="1:7" ht="36">
      <c r="A68" s="145"/>
      <c r="B68" s="13" t="s">
        <v>10</v>
      </c>
      <c r="C68" s="55" t="s">
        <v>73</v>
      </c>
      <c r="D68" s="56">
        <f>D72+D86+D90+D91+D92+D93+D94+D95+D96+D100</f>
        <v>14606.131416680471</v>
      </c>
      <c r="E68" s="56">
        <f t="shared" ref="E68:F68" si="8">E72+E86+E90+E91+E92+E93+E94+E95+E96+E100</f>
        <v>1106.3474890835546</v>
      </c>
      <c r="F68" s="56">
        <f t="shared" si="8"/>
        <v>1098.5114890835541</v>
      </c>
      <c r="G68" s="57"/>
    </row>
    <row r="69" spans="1:7">
      <c r="B69" s="11"/>
      <c r="C69" s="11" t="s">
        <v>74</v>
      </c>
      <c r="D69" s="11"/>
      <c r="E69" s="11"/>
      <c r="F69" s="11"/>
      <c r="G69" s="12"/>
    </row>
    <row r="70" spans="1:7" ht="25.5" customHeight="1">
      <c r="A70" s="145"/>
      <c r="B70" s="11" t="s">
        <v>13</v>
      </c>
      <c r="C70" s="159" t="s">
        <v>75</v>
      </c>
      <c r="D70" s="160"/>
      <c r="E70" s="160"/>
      <c r="F70" s="161"/>
      <c r="G70" s="58"/>
    </row>
    <row r="71" spans="1:7">
      <c r="B71" s="11"/>
      <c r="C71" s="11"/>
      <c r="D71" s="11"/>
      <c r="E71" s="11"/>
      <c r="F71" s="11"/>
      <c r="G71" s="12"/>
    </row>
    <row r="72" spans="1:7">
      <c r="B72" s="18">
        <v>1</v>
      </c>
      <c r="C72" s="19" t="s">
        <v>15</v>
      </c>
      <c r="D72" s="20">
        <f t="shared" ref="D72:F72" si="9">D73+D77+D78+D82</f>
        <v>3191.5382173485937</v>
      </c>
      <c r="E72" s="20">
        <f t="shared" si="9"/>
        <v>238.21699956675809</v>
      </c>
      <c r="F72" s="20">
        <f t="shared" si="9"/>
        <v>238.21699956675806</v>
      </c>
      <c r="G72" s="21"/>
    </row>
    <row r="73" spans="1:7">
      <c r="B73" s="22" t="s">
        <v>16</v>
      </c>
      <c r="C73" s="23" t="s">
        <v>17</v>
      </c>
      <c r="D73" s="20">
        <f t="shared" ref="D73" si="10">SUM(D74:D76)</f>
        <v>1589.1205440994147</v>
      </c>
      <c r="E73" s="20">
        <f t="shared" ref="E73:F73" si="11">SUM(E74:E76)</f>
        <v>118.61224970063054</v>
      </c>
      <c r="F73" s="20">
        <f t="shared" si="11"/>
        <v>118.61224970063053</v>
      </c>
      <c r="G73" s="21"/>
    </row>
    <row r="74" spans="1:7" ht="13.5" customHeight="1">
      <c r="A74" s="145"/>
      <c r="B74" s="24" t="s">
        <v>18</v>
      </c>
      <c r="C74" s="29" t="s">
        <v>21</v>
      </c>
      <c r="D74" s="59">
        <f>'[12]Д3 '!J12/[12]Д7!$G$21*'Тарифи на ТЕ (2)'!$D$101</f>
        <v>1291.3295712229099</v>
      </c>
      <c r="E74" s="27">
        <f>'[12]Д3 '!L12/'[12]Д3 '!$L$41*1000</f>
        <v>96.385076712039449</v>
      </c>
      <c r="F74" s="27">
        <f>'[12]Д3 '!M12/'[12]Д3 '!$M$41*1000</f>
        <v>96.385076712039435</v>
      </c>
      <c r="G74" s="28"/>
    </row>
    <row r="75" spans="1:7" ht="22.5" customHeight="1">
      <c r="A75" s="145"/>
      <c r="B75" s="24" t="s">
        <v>20</v>
      </c>
      <c r="C75" s="30" t="s">
        <v>23</v>
      </c>
      <c r="D75" s="59">
        <f>'[12]Д3 '!J13/[12]Д7!$G$21*'Тарифи на ТЕ (2)'!$D$101</f>
        <v>72.149857388335576</v>
      </c>
      <c r="E75" s="27">
        <f>'[12]Д3 '!L13/'[12]Д3 '!$L$41*1000</f>
        <v>5.3852786260843706</v>
      </c>
      <c r="F75" s="27">
        <f>'[12]Д3 '!M13/'[12]Д3 '!$M$41*1000</f>
        <v>5.3852786260843697</v>
      </c>
      <c r="G75" s="28"/>
    </row>
    <row r="76" spans="1:7" ht="24" customHeight="1">
      <c r="A76" s="145"/>
      <c r="B76" s="24" t="s">
        <v>22</v>
      </c>
      <c r="C76" s="30" t="s">
        <v>25</v>
      </c>
      <c r="D76" s="60">
        <f>'[12]Д3 '!J14/[12]Д7!$G$21*'Тарифи на ТЕ (2)'!$D$101</f>
        <v>225.64111548816931</v>
      </c>
      <c r="E76" s="31">
        <f>'[12]Д3 '!L14/'[12]Д3 '!$L$41*1000</f>
        <v>16.841894362506725</v>
      </c>
      <c r="F76" s="31">
        <f>'[12]Д3 '!M14/'[12]Д3 '!$M$41*1000</f>
        <v>16.841894362506725</v>
      </c>
      <c r="G76" s="32"/>
    </row>
    <row r="77" spans="1:7" ht="15" customHeight="1">
      <c r="A77" s="145"/>
      <c r="B77" s="22" t="s">
        <v>26</v>
      </c>
      <c r="C77" s="33" t="s">
        <v>27</v>
      </c>
      <c r="D77" s="61">
        <f>'[12]Д3 '!J15/[12]Д7!$G$21*'Тарифи на ТЕ (2)'!$D$101</f>
        <v>978.58750898905566</v>
      </c>
      <c r="E77" s="20">
        <f>'[12]Д3 '!L15/'[12]Д3 '!$L$41*1000</f>
        <v>73.041951663842099</v>
      </c>
      <c r="F77" s="20">
        <f>'[12]Д3 '!M15/'[12]Д3 '!$M$41*1000</f>
        <v>73.041951663842099</v>
      </c>
      <c r="G77" s="21"/>
    </row>
    <row r="78" spans="1:7" ht="15" customHeight="1">
      <c r="A78" s="145"/>
      <c r="B78" s="22" t="s">
        <v>28</v>
      </c>
      <c r="C78" s="35" t="s">
        <v>29</v>
      </c>
      <c r="D78" s="20">
        <f t="shared" ref="D78" si="12">SUM(D79:D81)</f>
        <v>570.80034143715363</v>
      </c>
      <c r="E78" s="20">
        <f t="shared" ref="E78:F78" si="13">SUM(E79:E81)</f>
        <v>42.604642472933328</v>
      </c>
      <c r="F78" s="20">
        <f t="shared" si="13"/>
        <v>42.604642472933328</v>
      </c>
      <c r="G78" s="21"/>
    </row>
    <row r="79" spans="1:7" ht="15" customHeight="1">
      <c r="A79" s="145"/>
      <c r="B79" s="24" t="s">
        <v>30</v>
      </c>
      <c r="C79" s="36" t="s">
        <v>31</v>
      </c>
      <c r="D79" s="62">
        <f>'[12]Д3 '!J17/[12]Д7!$G$21*'Тарифи на ТЕ (2)'!$D$101</f>
        <v>213.58681748028525</v>
      </c>
      <c r="E79" s="27">
        <f>'[12]Д3 '!L17/'[12]Д3 '!$L$41*1000</f>
        <v>15.942159342035231</v>
      </c>
      <c r="F79" s="27">
        <f>'[12]Д3 '!M17/'[12]Д3 '!$M$41*1000</f>
        <v>15.942159342035231</v>
      </c>
      <c r="G79" s="28"/>
    </row>
    <row r="80" spans="1:7">
      <c r="A80" s="145"/>
      <c r="B80" s="24" t="s">
        <v>32</v>
      </c>
      <c r="C80" s="36" t="s">
        <v>33</v>
      </c>
      <c r="D80" s="62">
        <f>'[12]Д3 '!J18/[12]Д7!$G$21*'Тарифи на ТЕ (2)'!$D$101</f>
        <v>111.76983871683335</v>
      </c>
      <c r="E80" s="27">
        <f>'[12]Д3 '!L18/'[12]Д3 '!$L$41*1000</f>
        <v>8.3425213197991805</v>
      </c>
      <c r="F80" s="27">
        <f>'[12]Д3 '!M18/'[12]Д3 '!$M$41*1000</f>
        <v>8.3425213197991805</v>
      </c>
      <c r="G80" s="28"/>
    </row>
    <row r="81" spans="1:7" ht="14.25" customHeight="1">
      <c r="A81" s="145"/>
      <c r="B81" s="24" t="s">
        <v>34</v>
      </c>
      <c r="C81" s="30" t="s">
        <v>35</v>
      </c>
      <c r="D81" s="62">
        <f>'[12]Д3 '!J19/[12]Д7!$G$21*'Тарифи на ТЕ (2)'!$D$101</f>
        <v>245.44368524003508</v>
      </c>
      <c r="E81" s="27">
        <f>'[12]Д3 '!L19/'[12]Д3 '!$L$41*1000</f>
        <v>18.319961811098917</v>
      </c>
      <c r="F81" s="27">
        <f>'[12]Д3 '!M19/'[12]Д3 '!$M$41*1000</f>
        <v>18.319961811098917</v>
      </c>
      <c r="G81" s="28"/>
    </row>
    <row r="82" spans="1:7" ht="19.5" customHeight="1">
      <c r="A82" s="145"/>
      <c r="B82" s="22" t="s">
        <v>36</v>
      </c>
      <c r="C82" s="33" t="s">
        <v>37</v>
      </c>
      <c r="D82" s="20">
        <f t="shared" ref="D82" si="14">SUM(D83:D85)</f>
        <v>53.029822822969379</v>
      </c>
      <c r="E82" s="20">
        <f t="shared" ref="E82:F82" si="15">SUM(E83:E85)</f>
        <v>3.9581557293521099</v>
      </c>
      <c r="F82" s="20">
        <f t="shared" si="15"/>
        <v>3.9581557293521099</v>
      </c>
      <c r="G82" s="21"/>
    </row>
    <row r="83" spans="1:7" ht="15.75" customHeight="1">
      <c r="A83" s="145"/>
      <c r="B83" s="24" t="s">
        <v>38</v>
      </c>
      <c r="C83" s="37" t="s">
        <v>27</v>
      </c>
      <c r="D83" s="62">
        <f>'[12]Д3 '!J21/[12]Д7!$G$21*'Тарифи на ТЕ (2)'!$D$101</f>
        <v>37.21830199082175</v>
      </c>
      <c r="E83" s="27">
        <f>'[12]Д3 '!L21/'[12]Д3 '!$L$41*1000</f>
        <v>2.7779809062066043</v>
      </c>
      <c r="F83" s="27">
        <f>'[12]Д3 '!M21/'[12]Д3 '!$M$41*1000</f>
        <v>2.7779809062066043</v>
      </c>
      <c r="G83" s="28"/>
    </row>
    <row r="84" spans="1:7" ht="14.25" customHeight="1">
      <c r="A84" s="145"/>
      <c r="B84" s="24" t="s">
        <v>39</v>
      </c>
      <c r="C84" s="36" t="s">
        <v>31</v>
      </c>
      <c r="D84" s="62">
        <f>'[12]Д3 '!J22/[12]Д7!$G$21*'Тарифи на ТЕ (2)'!$D$101</f>
        <v>8.0791860603144023</v>
      </c>
      <c r="E84" s="27">
        <f>'[12]Д3 '!L22/'[12]Д3 '!$L$41*1000</f>
        <v>0.60303193355727924</v>
      </c>
      <c r="F84" s="27">
        <f>'[12]Д3 '!M22/'[12]Д3 '!$M$41*1000</f>
        <v>0.60303193355727913</v>
      </c>
      <c r="G84" s="28"/>
    </row>
    <row r="85" spans="1:7">
      <c r="A85" s="145"/>
      <c r="B85" s="24" t="s">
        <v>40</v>
      </c>
      <c r="C85" s="30" t="s">
        <v>41</v>
      </c>
      <c r="D85" s="62">
        <f>'[12]Д3 '!J23/[12]Д7!$G$21*'Тарифи на ТЕ (2)'!$D$101</f>
        <v>7.7323347718332256</v>
      </c>
      <c r="E85" s="27">
        <f>'[12]Д3 '!L23/'[12]Д3 '!$L$41*1000</f>
        <v>0.57714288958822635</v>
      </c>
      <c r="F85" s="27">
        <f>'[12]Д3 '!M23/'[12]Д3 '!$M$41*1000</f>
        <v>0.57714288958822635</v>
      </c>
      <c r="G85" s="28"/>
    </row>
    <row r="86" spans="1:7" ht="19.5" customHeight="1">
      <c r="A86" s="145"/>
      <c r="B86" s="22" t="s">
        <v>42</v>
      </c>
      <c r="C86" s="33" t="s">
        <v>43</v>
      </c>
      <c r="D86" s="20">
        <f t="shared" ref="D86" si="16">SUM(D87:D89)</f>
        <v>130.77349473511623</v>
      </c>
      <c r="E86" s="20">
        <f t="shared" ref="E86:F86" si="17">SUM(E87:E89)</f>
        <v>9.7609577003714811</v>
      </c>
      <c r="F86" s="20">
        <f t="shared" si="17"/>
        <v>9.7609577003714811</v>
      </c>
      <c r="G86" s="21"/>
    </row>
    <row r="87" spans="1:7" ht="15.75" customHeight="1">
      <c r="A87" s="145"/>
      <c r="B87" s="24" t="s">
        <v>44</v>
      </c>
      <c r="C87" s="37" t="s">
        <v>27</v>
      </c>
      <c r="D87" s="62">
        <f>'[12]Д3 '!J25/[12]Д7!$G$21*'Тарифи на ТЕ (2)'!$D$101</f>
        <v>99.272502526632863</v>
      </c>
      <c r="E87" s="27">
        <f>'[12]Д3 '!L25/'[12]Д3 '!$L$41*1000</f>
        <v>7.4097178479109882</v>
      </c>
      <c r="F87" s="27">
        <f>'[12]Д3 '!M25/'[12]Д3 '!$M$41*1000</f>
        <v>7.4097178479109882</v>
      </c>
      <c r="G87" s="28"/>
    </row>
    <row r="88" spans="1:7" ht="14.25" customHeight="1">
      <c r="A88" s="145"/>
      <c r="B88" s="24" t="s">
        <v>45</v>
      </c>
      <c r="C88" s="36" t="s">
        <v>31</v>
      </c>
      <c r="D88" s="62">
        <f>'[12]Д3 '!J26/[12]Д7!$G$21*'Тарифи на ТЕ (2)'!$D$101</f>
        <v>21.08392812087942</v>
      </c>
      <c r="E88" s="27">
        <f>'[12]Д3 '!L26/'[12]Д3 '!$L$41*1000</f>
        <v>1.5737082729373149</v>
      </c>
      <c r="F88" s="27">
        <f>'[12]Д3 '!M26/'[12]Д3 '!$M$41*1000</f>
        <v>1.5737082729373151</v>
      </c>
      <c r="G88" s="28"/>
    </row>
    <row r="89" spans="1:7">
      <c r="A89" s="145"/>
      <c r="B89" s="24" t="s">
        <v>46</v>
      </c>
      <c r="C89" s="30" t="s">
        <v>41</v>
      </c>
      <c r="D89" s="62">
        <f>'[12]Д3 '!J27/[12]Д7!$G$21*'Тарифи на ТЕ (2)'!$D$101</f>
        <v>10.417064087603949</v>
      </c>
      <c r="E89" s="27">
        <f>'[12]Д3 '!L27/'[12]Д3 '!$L$41*1000</f>
        <v>0.77753157952317842</v>
      </c>
      <c r="F89" s="27">
        <f>'[12]Д3 '!M27/'[12]Д3 '!$M$41*1000</f>
        <v>0.77753157952317842</v>
      </c>
      <c r="G89" s="28"/>
    </row>
    <row r="90" spans="1:7">
      <c r="A90" s="145"/>
      <c r="B90" s="38" t="s">
        <v>47</v>
      </c>
      <c r="C90" s="39" t="s">
        <v>76</v>
      </c>
      <c r="D90" s="62">
        <f>'[12]Д3 '!J28/[12]Д7!$G$21*'Тарифи на ТЕ (2)'!$D$101</f>
        <v>0</v>
      </c>
      <c r="E90" s="27">
        <f>'[12]Д3 '!L28/'[12]Д3 '!$L$41*1000</f>
        <v>0</v>
      </c>
      <c r="F90" s="27">
        <f>'[12]Д3 '!M28/'[12]Д3 '!$M$41*1000</f>
        <v>0</v>
      </c>
      <c r="G90" s="28"/>
    </row>
    <row r="91" spans="1:7" ht="42">
      <c r="A91" s="145"/>
      <c r="B91" s="44" t="s">
        <v>49</v>
      </c>
      <c r="C91" s="63" t="s">
        <v>77</v>
      </c>
      <c r="D91" s="64">
        <f>9487.17+1035.12-D141</f>
        <v>8469.43</v>
      </c>
      <c r="E91" s="42">
        <f>'[12]Д3 '!L29/'[12]Д3 '!$L$41*1000</f>
        <v>632.15916534514747</v>
      </c>
      <c r="F91" s="42">
        <f>'[12]Д3 '!M29/'[12]Д3 '!$M$41*1000</f>
        <v>632.1591653451469</v>
      </c>
      <c r="G91" s="43"/>
    </row>
    <row r="92" spans="1:7" ht="12.75" customHeight="1">
      <c r="B92" s="44" t="s">
        <v>51</v>
      </c>
      <c r="C92" s="40" t="s">
        <v>50</v>
      </c>
      <c r="D92" s="65">
        <f>'[12]Д3 '!J30</f>
        <v>0</v>
      </c>
      <c r="E92" s="20">
        <f>'[12]Д3 '!L30/'[12]Д3 '!$L$41*1000</f>
        <v>0</v>
      </c>
      <c r="F92" s="20">
        <f>'[12]Д3 '!M30/'[12]Д3 '!$M$41*1000</f>
        <v>0</v>
      </c>
      <c r="G92" s="21"/>
    </row>
    <row r="93" spans="1:7" ht="12" customHeight="1">
      <c r="B93" s="44" t="s">
        <v>53</v>
      </c>
      <c r="C93" s="40" t="s">
        <v>52</v>
      </c>
      <c r="D93" s="65">
        <f>'[12]Д3 '!J32</f>
        <v>0</v>
      </c>
      <c r="E93" s="20">
        <f>'[12]Д3 '!L32/'[12]Д3 '!$L$41*1000</f>
        <v>0</v>
      </c>
      <c r="F93" s="20">
        <f>'[12]Д3 '!M32/'[12]Д3 '!$M$41*1000</f>
        <v>0</v>
      </c>
      <c r="G93" s="21"/>
    </row>
    <row r="94" spans="1:7" ht="12" customHeight="1">
      <c r="A94" s="145"/>
      <c r="B94" s="44" t="s">
        <v>55</v>
      </c>
      <c r="C94" s="40" t="s">
        <v>54</v>
      </c>
      <c r="D94" s="65">
        <v>-243.988</v>
      </c>
      <c r="E94" s="20">
        <v>-5.36</v>
      </c>
      <c r="F94" s="20">
        <v>-5.36</v>
      </c>
      <c r="G94" s="21"/>
    </row>
    <row r="95" spans="1:7" ht="26.25" customHeight="1">
      <c r="A95" s="145"/>
      <c r="B95" s="44" t="s">
        <v>57</v>
      </c>
      <c r="C95" s="41" t="s">
        <v>56</v>
      </c>
      <c r="D95" s="64">
        <v>491.13</v>
      </c>
      <c r="E95" s="42">
        <v>37.26</v>
      </c>
      <c r="F95" s="42">
        <v>30.73</v>
      </c>
      <c r="G95" s="43"/>
    </row>
    <row r="96" spans="1:7" ht="13.5" customHeight="1">
      <c r="A96" s="145"/>
      <c r="B96" s="44" t="s">
        <v>65</v>
      </c>
      <c r="C96" s="40" t="s">
        <v>78</v>
      </c>
      <c r="D96" s="20">
        <f>SUM(D97:D99)</f>
        <v>132.89246848334841</v>
      </c>
      <c r="E96" s="20">
        <f>SUM(E97:E99)</f>
        <v>9.9191182906851818</v>
      </c>
      <c r="F96" s="20">
        <f>SUM(F97:F99)</f>
        <v>9.9191182906851783</v>
      </c>
      <c r="G96" s="21"/>
    </row>
    <row r="97" spans="1:7" ht="13.5" customHeight="1">
      <c r="A97" s="145"/>
      <c r="B97" s="38" t="s">
        <v>79</v>
      </c>
      <c r="C97" s="39" t="s">
        <v>60</v>
      </c>
      <c r="D97" s="60">
        <f>'[12]Д3 '!J34/[12]Д7!$G$21*'Тарифи на ТЕ (2)'!$D$101</f>
        <v>23.920644327002716</v>
      </c>
      <c r="E97" s="27">
        <f>'[12]Д3 '!L34/'[12]Д3 '!$L$41*1000</f>
        <v>1.7854412923233329</v>
      </c>
      <c r="F97" s="27">
        <f>'[12]Д3 '!M34/'[12]Д3 '!$M$41*1000</f>
        <v>1.7854412923233323</v>
      </c>
      <c r="G97" s="28"/>
    </row>
    <row r="98" spans="1:7" ht="13.5" customHeight="1">
      <c r="A98" s="145"/>
      <c r="B98" s="38" t="s">
        <v>80</v>
      </c>
      <c r="C98" s="39" t="s">
        <v>62</v>
      </c>
      <c r="D98" s="60">
        <f>'[12]Д3 '!J35/[12]Д7!$G$21*'Тарифи на ТЕ (2)'!$D$101</f>
        <v>0</v>
      </c>
      <c r="E98" s="27">
        <f>'[12]Д3 '!L35/'[12]Д3 '!$L$41*1000</f>
        <v>0</v>
      </c>
      <c r="F98" s="27">
        <f>'[12]Д3 '!M35/'[12]Д3 '!$M$41*1000</f>
        <v>0</v>
      </c>
      <c r="G98" s="28"/>
    </row>
    <row r="99" spans="1:7" ht="13.5" customHeight="1">
      <c r="A99" s="145"/>
      <c r="B99" s="38" t="s">
        <v>81</v>
      </c>
      <c r="C99" s="39" t="s">
        <v>64</v>
      </c>
      <c r="D99" s="60">
        <f>'[12]Д3 '!J36/[12]Д7!$G$21*'Тарифи на ТЕ (2)'!$D$101</f>
        <v>108.97182415634569</v>
      </c>
      <c r="E99" s="27">
        <f>'[12]Д3 '!L36/'[12]Д3 '!$L$41*1000</f>
        <v>8.1336769983618495</v>
      </c>
      <c r="F99" s="27">
        <f>'[12]Д3 '!M36/'[12]Д3 '!$M$41*1000</f>
        <v>8.133676998361846</v>
      </c>
      <c r="G99" s="28"/>
    </row>
    <row r="100" spans="1:7" ht="16.5" customHeight="1">
      <c r="B100" s="22" t="s">
        <v>67</v>
      </c>
      <c r="C100" s="45" t="s">
        <v>66</v>
      </c>
      <c r="D100" s="46">
        <f>(D72+D86+D90+D91+D92+D93+D94+D95+D96)*0.2</f>
        <v>2434.355236113412</v>
      </c>
      <c r="E100" s="46">
        <f t="shared" ref="E100:F100" si="18">(E72+E86+E90+E91+E92+E93+E94+E95+E96)*0.2</f>
        <v>184.39124818059247</v>
      </c>
      <c r="F100" s="46">
        <f t="shared" si="18"/>
        <v>183.08524818059234</v>
      </c>
      <c r="G100" s="47"/>
    </row>
    <row r="101" spans="1:7" ht="27" customHeight="1">
      <c r="A101" s="145"/>
      <c r="B101" s="48" t="s">
        <v>82</v>
      </c>
      <c r="C101" s="66" t="s">
        <v>83</v>
      </c>
      <c r="D101" s="67">
        <f>SUM(E101:F101)</f>
        <v>13397.608999999997</v>
      </c>
      <c r="E101" s="42">
        <f>[12]Д5!F30</f>
        <v>12158.519999999997</v>
      </c>
      <c r="F101" s="42">
        <f>[12]Д5!G30</f>
        <v>1239.0890000000002</v>
      </c>
      <c r="G101" s="43"/>
    </row>
    <row r="102" spans="1:7">
      <c r="B102" s="3"/>
      <c r="C102" s="3"/>
      <c r="D102" s="3"/>
      <c r="E102" s="50">
        <f>E72+E86+E91+E96</f>
        <v>890.05624090296226</v>
      </c>
      <c r="F102" s="50">
        <f>F72+F86+F91+F96</f>
        <v>890.05624090296169</v>
      </c>
      <c r="G102" s="50"/>
    </row>
    <row r="103" spans="1:7">
      <c r="B103" s="3"/>
      <c r="C103" s="3"/>
      <c r="D103" s="3"/>
      <c r="E103" s="3"/>
      <c r="F103" s="6"/>
      <c r="G103" s="6"/>
    </row>
    <row r="104" spans="1:7">
      <c r="B104" s="3"/>
      <c r="C104" s="3"/>
      <c r="D104" s="3"/>
      <c r="E104" s="3"/>
      <c r="F104" s="6"/>
      <c r="G104" s="6"/>
    </row>
    <row r="105" spans="1:7" ht="14.25">
      <c r="B105" s="52" t="s">
        <v>69</v>
      </c>
      <c r="D105" s="52"/>
      <c r="F105" s="53" t="s">
        <v>70</v>
      </c>
      <c r="G105" s="53"/>
    </row>
    <row r="106" spans="1:7" ht="14.25">
      <c r="B106" s="3"/>
      <c r="C106" s="52"/>
      <c r="D106" s="52"/>
      <c r="E106" s="3"/>
      <c r="F106" s="6"/>
      <c r="G106" s="6"/>
    </row>
    <row r="107" spans="1:7" ht="14.25">
      <c r="B107" s="3"/>
      <c r="C107" s="52"/>
      <c r="D107" s="52"/>
      <c r="E107" s="3"/>
      <c r="F107" s="6"/>
      <c r="G107" s="6"/>
    </row>
    <row r="108" spans="1:7" ht="14.25">
      <c r="B108" s="3"/>
      <c r="C108" s="52"/>
      <c r="D108" s="52"/>
      <c r="E108" s="2"/>
      <c r="F108" s="2" t="s">
        <v>84</v>
      </c>
      <c r="G108" s="6"/>
    </row>
    <row r="109" spans="1:7" ht="14.25">
      <c r="B109" s="3"/>
      <c r="C109" s="52"/>
      <c r="D109" s="52"/>
      <c r="G109" s="3"/>
    </row>
    <row r="110" spans="1:7" ht="14.25">
      <c r="B110" s="3"/>
      <c r="C110" s="52"/>
      <c r="D110" s="52"/>
      <c r="E110" s="2" t="s">
        <v>1</v>
      </c>
      <c r="F110" s="2"/>
      <c r="G110" s="3"/>
    </row>
    <row r="111" spans="1:7">
      <c r="B111" s="3"/>
      <c r="C111" s="2"/>
      <c r="D111" s="2"/>
      <c r="E111" s="2" t="s">
        <v>2</v>
      </c>
      <c r="F111" s="2"/>
      <c r="G111" s="2"/>
    </row>
    <row r="112" spans="1:7">
      <c r="B112" s="3"/>
      <c r="E112" s="2" t="s">
        <v>163</v>
      </c>
      <c r="F112" s="3"/>
      <c r="G112" s="3"/>
    </row>
    <row r="113" spans="1:7" ht="15" customHeight="1">
      <c r="B113" s="3"/>
      <c r="E113" s="2"/>
      <c r="F113" s="3"/>
      <c r="G113" s="6"/>
    </row>
    <row r="114" spans="1:7" ht="42" customHeight="1">
      <c r="B114" s="162" t="s">
        <v>85</v>
      </c>
      <c r="C114" s="162"/>
      <c r="D114" s="162"/>
      <c r="E114" s="162"/>
      <c r="F114" s="162"/>
      <c r="G114" s="68"/>
    </row>
    <row r="115" spans="1:7" ht="14.25" customHeight="1">
      <c r="B115" s="69"/>
      <c r="C115" s="69"/>
      <c r="D115" s="69"/>
      <c r="E115" s="69"/>
      <c r="F115" s="6"/>
      <c r="G115" s="6"/>
    </row>
    <row r="116" spans="1:7" ht="14.25" customHeight="1">
      <c r="B116" s="150" t="s">
        <v>4</v>
      </c>
      <c r="C116" s="150" t="s">
        <v>5</v>
      </c>
      <c r="D116" s="157" t="s">
        <v>6</v>
      </c>
      <c r="E116" s="153" t="s">
        <v>7</v>
      </c>
      <c r="F116" s="154"/>
      <c r="G116" s="54"/>
    </row>
    <row r="117" spans="1:7" ht="58.5" customHeight="1">
      <c r="B117" s="156"/>
      <c r="C117" s="151"/>
      <c r="D117" s="158"/>
      <c r="E117" s="8" t="s">
        <v>8</v>
      </c>
      <c r="F117" s="9" t="s">
        <v>9</v>
      </c>
      <c r="G117" s="10"/>
    </row>
    <row r="118" spans="1:7">
      <c r="B118" s="11">
        <v>1</v>
      </c>
      <c r="C118" s="11">
        <v>2</v>
      </c>
      <c r="D118" s="11">
        <v>3</v>
      </c>
      <c r="E118" s="11">
        <v>4</v>
      </c>
      <c r="F118" s="11">
        <v>5</v>
      </c>
      <c r="G118" s="12"/>
    </row>
    <row r="119" spans="1:7" ht="36">
      <c r="A119" s="145">
        <f>D122+D136+D141+D142+D147</f>
        <v>2974.2111365126871</v>
      </c>
      <c r="B119" s="13" t="s">
        <v>10</v>
      </c>
      <c r="C119" s="55" t="s">
        <v>86</v>
      </c>
      <c r="D119" s="56">
        <f>D122+D136+D140+D141+D142+D143+D144+D145+D146+D147+D151</f>
        <v>3519.0533012182832</v>
      </c>
      <c r="E119" s="56">
        <f t="shared" ref="E119:F119" si="19">E122+E136+E140+E141+E142+E143+E144+E145+E146+E147+E151</f>
        <v>1137.3365501357716</v>
      </c>
      <c r="F119" s="56">
        <f t="shared" si="19"/>
        <v>1129.5005501357709</v>
      </c>
      <c r="G119" s="57"/>
    </row>
    <row r="120" spans="1:7">
      <c r="A120" s="145"/>
      <c r="B120" s="11"/>
      <c r="C120" s="11" t="s">
        <v>74</v>
      </c>
      <c r="D120" s="11"/>
      <c r="E120" s="11"/>
      <c r="F120" s="11"/>
      <c r="G120" s="12"/>
    </row>
    <row r="121" spans="1:7" ht="26.25" customHeight="1">
      <c r="A121" s="145"/>
      <c r="B121" s="11" t="s">
        <v>13</v>
      </c>
      <c r="C121" s="159" t="s">
        <v>87</v>
      </c>
      <c r="D121" s="160"/>
      <c r="E121" s="160"/>
      <c r="F121" s="161"/>
      <c r="G121" s="58"/>
    </row>
    <row r="122" spans="1:7">
      <c r="B122" s="70">
        <v>1</v>
      </c>
      <c r="C122" s="71" t="s">
        <v>15</v>
      </c>
      <c r="D122" s="72">
        <f t="shared" ref="D122:F122" si="20">D123+D127+D128+D132</f>
        <v>773.58135827009824</v>
      </c>
      <c r="E122" s="72">
        <f t="shared" si="20"/>
        <v>238.21699956675806</v>
      </c>
      <c r="F122" s="72">
        <f t="shared" si="20"/>
        <v>238.21699956675806</v>
      </c>
      <c r="G122" s="73"/>
    </row>
    <row r="123" spans="1:7">
      <c r="A123" s="145">
        <f>A119+A68-D142</f>
        <v>2893.5754890216535</v>
      </c>
      <c r="B123" s="74" t="s">
        <v>16</v>
      </c>
      <c r="C123" s="75" t="s">
        <v>17</v>
      </c>
      <c r="D123" s="72">
        <f t="shared" ref="D123" si="21">SUM(D124:D126)</f>
        <v>385.17916604508332</v>
      </c>
      <c r="E123" s="72">
        <f t="shared" ref="E123:F123" si="22">SUM(E124:E126)</f>
        <v>118.61224970063054</v>
      </c>
      <c r="F123" s="72">
        <f t="shared" si="22"/>
        <v>118.61224970063054</v>
      </c>
      <c r="G123" s="73"/>
    </row>
    <row r="124" spans="1:7">
      <c r="B124" s="76" t="s">
        <v>18</v>
      </c>
      <c r="C124" s="30" t="s">
        <v>21</v>
      </c>
      <c r="D124" s="77">
        <f>[12]Д3.1!J12/[12]Д3.1!$J$42*'Тарифи на ТЕ (2)'!$D$152</f>
        <v>312.99906679821936</v>
      </c>
      <c r="E124" s="78">
        <f>[12]Д3.1!L12/[12]Д3.1!$L$42*1000</f>
        <v>96.385076712039449</v>
      </c>
      <c r="F124" s="78">
        <f>[12]Д3.1!M12/[12]Д3.1!$M$42*1000</f>
        <v>96.385076712039449</v>
      </c>
      <c r="G124" s="79"/>
    </row>
    <row r="125" spans="1:7" ht="22.5">
      <c r="B125" s="76" t="s">
        <v>20</v>
      </c>
      <c r="C125" s="30" t="s">
        <v>23</v>
      </c>
      <c r="D125" s="77">
        <f>[12]Д3.1!J13/[12]Д3.1!$J$42*'Тарифи на ТЕ (2)'!$D$152</f>
        <v>17.488051490052484</v>
      </c>
      <c r="E125" s="78">
        <f>[12]Д3.1!L13/[12]Д3.1!$L$42*1000</f>
        <v>5.3852786260843697</v>
      </c>
      <c r="F125" s="78">
        <f>[12]Д3.1!M13/[12]Д3.1!$M$42*1000</f>
        <v>5.3852786260843688</v>
      </c>
      <c r="G125" s="79"/>
    </row>
    <row r="126" spans="1:7" ht="22.5">
      <c r="B126" s="76" t="s">
        <v>22</v>
      </c>
      <c r="C126" s="30" t="s">
        <v>25</v>
      </c>
      <c r="D126" s="77">
        <f>[12]Д3.1!J14/[12]Д3.1!$J$42*'Тарифи на ТЕ (2)'!$D$152</f>
        <v>54.692047756811448</v>
      </c>
      <c r="E126" s="78">
        <f>[12]Д3.1!L14/[12]Д3.1!$L$42*1000</f>
        <v>16.841894362506725</v>
      </c>
      <c r="F126" s="78">
        <f>[12]Д3.1!M14/[12]Д3.1!$M$42*1000</f>
        <v>16.841894362506725</v>
      </c>
      <c r="G126" s="79"/>
    </row>
    <row r="127" spans="1:7">
      <c r="B127" s="74" t="s">
        <v>26</v>
      </c>
      <c r="C127" s="35" t="s">
        <v>27</v>
      </c>
      <c r="D127" s="77">
        <f>[12]Д3.1!J15/[12]Д3.1!$J$42*'Тарифи на ТЕ (2)'!$D$152</f>
        <v>237.19504603607916</v>
      </c>
      <c r="E127" s="72">
        <f>[12]Д3.1!L15/[12]Д3.1!$L$42*1000</f>
        <v>73.041951663842084</v>
      </c>
      <c r="F127" s="72">
        <f>[12]Д3.1!M15/[12]Д3.1!$M$42*1000</f>
        <v>73.041951663842084</v>
      </c>
      <c r="G127" s="73"/>
    </row>
    <row r="128" spans="1:7">
      <c r="B128" s="74" t="s">
        <v>28</v>
      </c>
      <c r="C128" s="35" t="s">
        <v>29</v>
      </c>
      <c r="D128" s="72">
        <f t="shared" ref="D128" si="23">SUM(D129:D131)</f>
        <v>138.35350647839667</v>
      </c>
      <c r="E128" s="72">
        <f t="shared" ref="E128:F128" si="24">SUM(E129:E131)</f>
        <v>42.604642472933321</v>
      </c>
      <c r="F128" s="72">
        <f t="shared" si="24"/>
        <v>42.604642472933321</v>
      </c>
      <c r="G128" s="73"/>
    </row>
    <row r="129" spans="1:7" ht="14.25" customHeight="1">
      <c r="B129" s="76" t="s">
        <v>30</v>
      </c>
      <c r="C129" s="36" t="s">
        <v>31</v>
      </c>
      <c r="D129" s="77">
        <f>[12]Д3.1!J17/[12]Д3.1!$J$42*'Тарифи на ТЕ (2)'!$D$152</f>
        <v>51.770265346297705</v>
      </c>
      <c r="E129" s="78">
        <f>[12]Д3.1!L17/[12]Д3.1!$L$42*1000</f>
        <v>15.942159342035231</v>
      </c>
      <c r="F129" s="78">
        <f>[12]Д3.1!M17/[12]Д3.1!$M$42*1000</f>
        <v>15.942159342035231</v>
      </c>
      <c r="G129" s="79"/>
    </row>
    <row r="130" spans="1:7">
      <c r="B130" s="76" t="s">
        <v>32</v>
      </c>
      <c r="C130" s="36" t="s">
        <v>33</v>
      </c>
      <c r="D130" s="77">
        <f>[12]Д3.1!J18/[12]Д3.1!$J$42*'Тарифи на ТЕ (2)'!$D$152</f>
        <v>27.09134522601078</v>
      </c>
      <c r="E130" s="78">
        <f>[12]Д3.1!L18/[12]Д3.1!$L$42*1000</f>
        <v>8.3425213197991805</v>
      </c>
      <c r="F130" s="78">
        <f>[12]Д3.1!M18/[12]Д3.1!$M$42*1000</f>
        <v>8.3425213197991805</v>
      </c>
      <c r="G130" s="79"/>
    </row>
    <row r="131" spans="1:7">
      <c r="B131" s="76" t="s">
        <v>34</v>
      </c>
      <c r="C131" s="30" t="s">
        <v>35</v>
      </c>
      <c r="D131" s="77">
        <f>[12]Д3.1!J19/[12]Д3.1!$J$42*'Тарифи на ТЕ (2)'!$D$152</f>
        <v>59.491895906088196</v>
      </c>
      <c r="E131" s="78">
        <f>[12]Д3.1!L19/[12]Д3.1!$L$42*1000</f>
        <v>18.319961811098914</v>
      </c>
      <c r="F131" s="78">
        <f>[12]Д3.1!M19/[12]Д3.1!$M$42*1000</f>
        <v>18.319961811098914</v>
      </c>
      <c r="G131" s="79"/>
    </row>
    <row r="132" spans="1:7">
      <c r="B132" s="74" t="s">
        <v>36</v>
      </c>
      <c r="C132" s="35" t="s">
        <v>37</v>
      </c>
      <c r="D132" s="72">
        <f t="shared" ref="D132" si="25">SUM(D133:D135)</f>
        <v>12.853639710539182</v>
      </c>
      <c r="E132" s="72">
        <f t="shared" ref="E132:F132" si="26">SUM(E133:E135)</f>
        <v>3.9581557293521099</v>
      </c>
      <c r="F132" s="72">
        <f t="shared" si="26"/>
        <v>3.9581557293521099</v>
      </c>
      <c r="G132" s="73"/>
    </row>
    <row r="133" spans="1:7">
      <c r="B133" s="76" t="s">
        <v>38</v>
      </c>
      <c r="C133" s="36" t="s">
        <v>27</v>
      </c>
      <c r="D133" s="77">
        <f>[12]Д3.1!J21/[12]Д3.1!$J$42*'Тарифи на ТЕ (2)'!$D$152</f>
        <v>9.021162413178109</v>
      </c>
      <c r="E133" s="78">
        <f>[12]Д3.1!L21/[12]Д3.1!$L$42*1000</f>
        <v>2.7779809062066043</v>
      </c>
      <c r="F133" s="78">
        <f>[12]Д3.1!M21/[12]Д3.1!$M$42*1000</f>
        <v>2.7779809062066043</v>
      </c>
      <c r="G133" s="79"/>
    </row>
    <row r="134" spans="1:7">
      <c r="B134" s="76" t="s">
        <v>39</v>
      </c>
      <c r="C134" s="36" t="s">
        <v>31</v>
      </c>
      <c r="D134" s="77">
        <f>[12]Д3.1!J22/[12]Д3.1!$J$42*'Тарифи на ТЕ (2)'!$D$152</f>
        <v>1.9582744434271704</v>
      </c>
      <c r="E134" s="78">
        <f>[12]Д3.1!L22/[12]Д3.1!$L$42*1000</f>
        <v>0.60303193355727913</v>
      </c>
      <c r="F134" s="78">
        <f>[12]Д3.1!M22/[12]Д3.1!$M$42*1000</f>
        <v>0.60303193355727913</v>
      </c>
      <c r="G134" s="79"/>
    </row>
    <row r="135" spans="1:7">
      <c r="B135" s="76" t="s">
        <v>40</v>
      </c>
      <c r="C135" s="30" t="s">
        <v>41</v>
      </c>
      <c r="D135" s="77">
        <f>[12]Д3.1!J23/[12]Д3.1!$J$42*'Тарифи на ТЕ (2)'!$D$152</f>
        <v>1.874202853933904</v>
      </c>
      <c r="E135" s="78">
        <f>[12]Д3.1!L23/[12]Д3.1!$L$42*1000</f>
        <v>0.57714288958822635</v>
      </c>
      <c r="F135" s="78">
        <f>[12]Д3.1!M23/[12]Д3.1!$M$42*1000</f>
        <v>0.57714288958822635</v>
      </c>
      <c r="G135" s="79"/>
    </row>
    <row r="136" spans="1:7">
      <c r="B136" s="74" t="s">
        <v>42</v>
      </c>
      <c r="C136" s="35" t="s">
        <v>43</v>
      </c>
      <c r="D136" s="72">
        <f t="shared" ref="D136" si="27">SUM(D137:D139)</f>
        <v>31.697548577990045</v>
      </c>
      <c r="E136" s="72">
        <f t="shared" ref="E136:F136" si="28">SUM(E137:E139)</f>
        <v>9.7609577003714811</v>
      </c>
      <c r="F136" s="72">
        <f t="shared" si="28"/>
        <v>9.7609577003714811</v>
      </c>
      <c r="G136" s="73"/>
    </row>
    <row r="137" spans="1:7">
      <c r="B137" s="76" t="s">
        <v>44</v>
      </c>
      <c r="C137" s="36" t="s">
        <v>27</v>
      </c>
      <c r="D137" s="77">
        <f>[12]Д3.1!J25/[12]Д3.1!$J$42*'Тарифи на ТЕ (2)'!$D$152</f>
        <v>24.062176954667034</v>
      </c>
      <c r="E137" s="78">
        <f>[12]Д3.1!L25/[12]Д3.1!$L$42*1000</f>
        <v>7.4097178479109882</v>
      </c>
      <c r="F137" s="78">
        <f>[12]Д3.1!M25/[12]Д3.1!$M$42*1000</f>
        <v>7.4097178479109882</v>
      </c>
      <c r="G137" s="79"/>
    </row>
    <row r="138" spans="1:7">
      <c r="B138" s="76" t="s">
        <v>45</v>
      </c>
      <c r="C138" s="36" t="s">
        <v>31</v>
      </c>
      <c r="D138" s="77">
        <f>[12]Д3.1!J26/[12]Д3.1!$J$42*'Тарифи на ТЕ (2)'!$D$152</f>
        <v>5.1104303450794504</v>
      </c>
      <c r="E138" s="78">
        <f>[12]Д3.1!L26/[12]Д3.1!$L$42*1000</f>
        <v>1.5737082729373151</v>
      </c>
      <c r="F138" s="78">
        <f>[12]Д3.1!M26/[12]Д3.1!$M$42*1000</f>
        <v>1.5737082729373149</v>
      </c>
      <c r="G138" s="79"/>
    </row>
    <row r="139" spans="1:7">
      <c r="B139" s="76" t="s">
        <v>46</v>
      </c>
      <c r="C139" s="30" t="s">
        <v>41</v>
      </c>
      <c r="D139" s="77">
        <f>[12]Д3.1!J27/[12]Д3.1!$J$42*'Тарифи на ТЕ (2)'!$D$152</f>
        <v>2.5249412782435585</v>
      </c>
      <c r="E139" s="78">
        <f>[12]Д3.1!L27/[12]Д3.1!$L$42*1000</f>
        <v>0.77753157952317842</v>
      </c>
      <c r="F139" s="78">
        <f>[12]Д3.1!M27/[12]Д3.1!$M$42*1000</f>
        <v>0.77753157952317842</v>
      </c>
      <c r="G139" s="79"/>
    </row>
    <row r="140" spans="1:7">
      <c r="B140" s="80" t="s">
        <v>47</v>
      </c>
      <c r="C140" s="81" t="s">
        <v>76</v>
      </c>
      <c r="D140" s="82">
        <f>[12]Д3.1!J28</f>
        <v>0</v>
      </c>
      <c r="E140" s="78">
        <f>[12]Д3.1!L28/[12]Д3.1!$L$42*1000</f>
        <v>0</v>
      </c>
      <c r="F140" s="78">
        <f>[12]Д3.1!M28/[12]Д3.1!$M$42*1000</f>
        <v>0</v>
      </c>
      <c r="G140" s="79"/>
    </row>
    <row r="141" spans="1:7" ht="42">
      <c r="A141" s="145" t="e">
        <f>#REF!+#REF!+#REF!+#REF!+#REF!+#REF!</f>
        <v>#REF!</v>
      </c>
      <c r="B141" s="44" t="s">
        <v>49</v>
      </c>
      <c r="C141" s="63" t="s">
        <v>88</v>
      </c>
      <c r="D141" s="67">
        <f>1801.05+251.81</f>
        <v>2052.86</v>
      </c>
      <c r="E141" s="83">
        <f>[12]Д3.1!L29/[12]Д3.1!$L$42*1000</f>
        <v>632.15916534514747</v>
      </c>
      <c r="F141" s="83">
        <f>[12]Д3.1!M29/[12]Д3.1!$M$42*1000</f>
        <v>632.1591653451469</v>
      </c>
      <c r="G141" s="84"/>
    </row>
    <row r="142" spans="1:7">
      <c r="A142" s="144" t="e">
        <f>A141*1.2</f>
        <v>#REF!</v>
      </c>
      <c r="B142" s="44" t="s">
        <v>51</v>
      </c>
      <c r="C142" s="63" t="s">
        <v>89</v>
      </c>
      <c r="D142" s="77">
        <f>[12]Д3.1!J30/[12]Д3.1!$J$42*'Тарифи на ТЕ (2)'!$D$152</f>
        <v>80.635647491033339</v>
      </c>
      <c r="E142" s="72">
        <f>[12]Д3.1!L30/[12]Д3.1!$L$42*1000</f>
        <v>24.830978407225192</v>
      </c>
      <c r="F142" s="72">
        <f>[12]Д3.1!M30/[12]Д3.1!$M$42*1000</f>
        <v>24.830978407225196</v>
      </c>
      <c r="G142" s="73"/>
    </row>
    <row r="143" spans="1:7">
      <c r="B143" s="44" t="s">
        <v>53</v>
      </c>
      <c r="C143" s="40" t="s">
        <v>50</v>
      </c>
      <c r="D143" s="85">
        <f>[12]Д3.1!J31</f>
        <v>0</v>
      </c>
      <c r="E143" s="72">
        <f>[12]Д3.1!L31/[12]Д3.1!$L$42*1000</f>
        <v>0</v>
      </c>
      <c r="F143" s="72">
        <f>[12]Д3.1!M31/[12]Д3.1!$M$42*1000</f>
        <v>0</v>
      </c>
      <c r="G143" s="73"/>
    </row>
    <row r="144" spans="1:7">
      <c r="B144" s="44" t="s">
        <v>55</v>
      </c>
      <c r="C144" s="40" t="s">
        <v>52</v>
      </c>
      <c r="D144" s="86">
        <f>[12]Д3.1!J33</f>
        <v>0</v>
      </c>
      <c r="E144" s="72">
        <f>[12]Д3.1!L33/[12]Д3.1!$L$42*1000</f>
        <v>0</v>
      </c>
      <c r="F144" s="72">
        <f>[12]Д3.1!M33/[12]Д3.1!$M$42*1000</f>
        <v>0</v>
      </c>
      <c r="G144" s="73"/>
    </row>
    <row r="145" spans="2:7">
      <c r="B145" s="44" t="s">
        <v>57</v>
      </c>
      <c r="C145" s="40" t="s">
        <v>54</v>
      </c>
      <c r="D145" s="65">
        <f>[13]Лист3!$F$22</f>
        <v>-160.06671883078423</v>
      </c>
      <c r="E145" s="20">
        <f>[12]Д6.1!F18</f>
        <v>-5.36</v>
      </c>
      <c r="F145" s="20">
        <f>[12]Д6.1!G18</f>
        <v>-5.36</v>
      </c>
      <c r="G145" s="21"/>
    </row>
    <row r="146" spans="2:7" ht="21">
      <c r="B146" s="44" t="s">
        <v>65</v>
      </c>
      <c r="C146" s="41" t="s">
        <v>56</v>
      </c>
      <c r="D146" s="64">
        <v>118.4</v>
      </c>
      <c r="E146" s="42">
        <v>37.26</v>
      </c>
      <c r="F146" s="42">
        <v>30.73</v>
      </c>
      <c r="G146" s="43"/>
    </row>
    <row r="147" spans="2:7" ht="21">
      <c r="B147" s="44" t="s">
        <v>67</v>
      </c>
      <c r="C147" s="40" t="s">
        <v>78</v>
      </c>
      <c r="D147" s="72">
        <f t="shared" ref="D147" si="29">SUM(D148:D150)</f>
        <v>35.436582173564879</v>
      </c>
      <c r="E147" s="72">
        <f t="shared" ref="E147:F147" si="30">SUM(E148:E150)</f>
        <v>10.912357426974193</v>
      </c>
      <c r="F147" s="72">
        <f t="shared" si="30"/>
        <v>10.912357426974191</v>
      </c>
      <c r="G147" s="73"/>
    </row>
    <row r="148" spans="2:7">
      <c r="B148" s="38" t="s">
        <v>90</v>
      </c>
      <c r="C148" s="39" t="s">
        <v>60</v>
      </c>
      <c r="D148" s="77">
        <f>[12]Д3.1!J35/[12]Д3.1!$J$42*'Тарифи на ТЕ (2)'!$D$152</f>
        <v>6.3785847912416829</v>
      </c>
      <c r="E148" s="78">
        <f>[12]Д3.1!L35/[12]Д3.1!$L$42*1000</f>
        <v>1.9642243368553558</v>
      </c>
      <c r="F148" s="78">
        <f>[12]Д3.1!M35/[12]Д3.1!$M$42*1000</f>
        <v>1.9642243368553558</v>
      </c>
      <c r="G148" s="79"/>
    </row>
    <row r="149" spans="2:7" ht="22.5">
      <c r="B149" s="38" t="s">
        <v>91</v>
      </c>
      <c r="C149" s="39" t="s">
        <v>62</v>
      </c>
      <c r="D149" s="77">
        <f>[12]Д3.1!J36/[12]Д3.1!$J$42*'Тарифи на ТЕ (2)'!$D$152</f>
        <v>0</v>
      </c>
      <c r="E149" s="78">
        <f>[12]Д3.1!L36/[12]Д3.1!$L$42*1000</f>
        <v>0</v>
      </c>
      <c r="F149" s="78">
        <f>[12]Д3.1!M36/[12]Д3.1!$M$42*1000</f>
        <v>0</v>
      </c>
      <c r="G149" s="79"/>
    </row>
    <row r="150" spans="2:7">
      <c r="B150" s="38" t="s">
        <v>92</v>
      </c>
      <c r="C150" s="39" t="s">
        <v>64</v>
      </c>
      <c r="D150" s="77">
        <f>[12]Д3.1!J37/[12]Д3.1!$J$42*'Тарифи на ТЕ (2)'!$D$152</f>
        <v>29.057997382323197</v>
      </c>
      <c r="E150" s="78">
        <f>[12]Д3.1!L37/[12]Д3.1!$L$42*1000</f>
        <v>8.9481330901188372</v>
      </c>
      <c r="F150" s="78">
        <f>[12]Д3.1!M37/[12]Д3.1!$M$42*1000</f>
        <v>8.9481330901188354</v>
      </c>
      <c r="G150" s="79"/>
    </row>
    <row r="151" spans="2:7">
      <c r="B151" s="44" t="s">
        <v>82</v>
      </c>
      <c r="C151" s="45" t="s">
        <v>66</v>
      </c>
      <c r="D151" s="87">
        <f>(D122+D136+D140+D141+D142+D143+D144+D145+D146+D147)*0.2</f>
        <v>586.50888353638061</v>
      </c>
      <c r="E151" s="87">
        <f t="shared" ref="E151:F151" si="31">(E122+E136+E140+E141+E142+E143+E144+E145+E146+E147)*0.2</f>
        <v>189.55609168929527</v>
      </c>
      <c r="F151" s="87">
        <f t="shared" si="31"/>
        <v>188.25009168929518</v>
      </c>
      <c r="G151" s="88"/>
    </row>
    <row r="152" spans="2:7" ht="21">
      <c r="B152" s="44" t="s">
        <v>93</v>
      </c>
      <c r="C152" s="66" t="s">
        <v>94</v>
      </c>
      <c r="D152" s="67">
        <f>SUM(E152:F152)</f>
        <v>3247.3809999999999</v>
      </c>
      <c r="E152" s="67">
        <f>'[12]5.1'!F30</f>
        <v>2849.04</v>
      </c>
      <c r="F152" s="67">
        <f>'[12]5.1'!G30</f>
        <v>398.34099999999995</v>
      </c>
      <c r="G152" s="142">
        <f>1801.05+251.815</f>
        <v>2052.8649999999998</v>
      </c>
    </row>
    <row r="153" spans="2:7">
      <c r="B153" s="69"/>
      <c r="C153" s="69"/>
      <c r="D153" s="69"/>
      <c r="E153" s="90">
        <f t="shared" ref="E153:F153" si="32">E122+E136+E141+E142+E147+E145+E146</f>
        <v>947.78045844647636</v>
      </c>
      <c r="F153" s="91">
        <f t="shared" si="32"/>
        <v>941.25045844647582</v>
      </c>
      <c r="G153" s="91"/>
    </row>
    <row r="154" spans="2:7" ht="14.25">
      <c r="B154" s="52" t="s">
        <v>69</v>
      </c>
      <c r="D154" s="52"/>
      <c r="F154" s="53" t="s">
        <v>70</v>
      </c>
      <c r="G154" s="53"/>
    </row>
    <row r="155" spans="2:7" ht="14.25">
      <c r="B155" s="69"/>
      <c r="C155" s="92"/>
      <c r="D155" s="92"/>
      <c r="E155" s="93">
        <f>E153*0.2</f>
        <v>189.55609168929527</v>
      </c>
      <c r="F155" s="6"/>
      <c r="G155" s="6"/>
    </row>
    <row r="156" spans="2:7" ht="14.25">
      <c r="B156" s="69"/>
      <c r="C156" s="92"/>
      <c r="D156" s="92"/>
      <c r="E156" s="91">
        <f>SUM(E153:E155)</f>
        <v>1137.3365501357716</v>
      </c>
      <c r="F156" s="6"/>
      <c r="G156" s="6"/>
    </row>
    <row r="157" spans="2:7" ht="14.25">
      <c r="B157" s="3"/>
      <c r="C157" s="52"/>
      <c r="D157" s="52"/>
      <c r="E157" s="2"/>
      <c r="F157" s="2" t="s">
        <v>95</v>
      </c>
      <c r="G157" s="6"/>
    </row>
    <row r="158" spans="2:7">
      <c r="B158" s="3"/>
      <c r="C158" s="3"/>
      <c r="D158" s="3"/>
      <c r="G158" s="6"/>
    </row>
    <row r="159" spans="2:7">
      <c r="B159" s="3"/>
      <c r="C159" s="3"/>
      <c r="D159" s="3"/>
      <c r="E159" s="2" t="s">
        <v>1</v>
      </c>
      <c r="F159" s="2"/>
      <c r="G159" s="6"/>
    </row>
    <row r="160" spans="2:7" ht="14.25">
      <c r="B160" s="3"/>
      <c r="C160" s="52"/>
      <c r="D160" s="52"/>
      <c r="E160" s="2" t="s">
        <v>2</v>
      </c>
      <c r="F160" s="2"/>
      <c r="G160" s="3"/>
    </row>
    <row r="161" spans="1:7" ht="14.25">
      <c r="B161" s="3"/>
      <c r="C161" s="52"/>
      <c r="D161" s="52"/>
      <c r="E161" s="2" t="s">
        <v>163</v>
      </c>
      <c r="F161" s="3"/>
      <c r="G161" s="3"/>
    </row>
    <row r="162" spans="1:7" ht="14.25">
      <c r="B162" s="3"/>
      <c r="C162" s="52"/>
      <c r="D162" s="52"/>
      <c r="F162" s="2"/>
      <c r="G162" s="2"/>
    </row>
    <row r="163" spans="1:7">
      <c r="B163" s="3"/>
      <c r="C163" s="2"/>
      <c r="D163" s="2"/>
      <c r="F163" s="3"/>
      <c r="G163" s="3"/>
    </row>
    <row r="164" spans="1:7" ht="33" customHeight="1">
      <c r="B164" s="148" t="s">
        <v>96</v>
      </c>
      <c r="C164" s="148"/>
      <c r="D164" s="148"/>
      <c r="E164" s="148"/>
      <c r="F164" s="148"/>
      <c r="G164" s="5"/>
    </row>
    <row r="165" spans="1:7">
      <c r="B165" s="3"/>
      <c r="C165" s="3"/>
      <c r="D165" s="3"/>
      <c r="E165" s="3"/>
      <c r="F165" s="6"/>
      <c r="G165" s="6"/>
    </row>
    <row r="166" spans="1:7">
      <c r="B166" s="3"/>
      <c r="C166" s="3"/>
      <c r="D166" s="3"/>
      <c r="E166" s="3"/>
      <c r="F166" s="6"/>
      <c r="G166" s="6"/>
    </row>
    <row r="167" spans="1:7" ht="21" customHeight="1">
      <c r="B167" s="150" t="s">
        <v>4</v>
      </c>
      <c r="C167" s="150" t="s">
        <v>5</v>
      </c>
      <c r="D167" s="157" t="s">
        <v>6</v>
      </c>
      <c r="E167" s="153" t="s">
        <v>7</v>
      </c>
      <c r="F167" s="154"/>
      <c r="G167" s="54"/>
    </row>
    <row r="168" spans="1:7" ht="33.75">
      <c r="B168" s="156"/>
      <c r="C168" s="151"/>
      <c r="D168" s="158"/>
      <c r="E168" s="8" t="s">
        <v>8</v>
      </c>
      <c r="F168" s="9" t="s">
        <v>9</v>
      </c>
      <c r="G168" s="10"/>
    </row>
    <row r="169" spans="1:7">
      <c r="B169" s="11">
        <v>1</v>
      </c>
      <c r="C169" s="11">
        <v>2</v>
      </c>
      <c r="D169" s="11">
        <v>3</v>
      </c>
      <c r="E169" s="11">
        <v>4</v>
      </c>
      <c r="F169" s="11">
        <v>5</v>
      </c>
      <c r="G169" s="12"/>
    </row>
    <row r="170" spans="1:7">
      <c r="B170" s="11"/>
      <c r="C170" s="11"/>
      <c r="D170" s="11"/>
      <c r="E170" s="11"/>
      <c r="F170" s="11"/>
      <c r="G170" s="139"/>
    </row>
    <row r="171" spans="1:7">
      <c r="A171" s="145">
        <f>D174+D185+D189+D198</f>
        <v>161.73052535298706</v>
      </c>
      <c r="B171" s="13" t="s">
        <v>10</v>
      </c>
      <c r="C171" s="14" t="s">
        <v>97</v>
      </c>
      <c r="D171" s="15">
        <f>D174+D185+D189+D193+D194+D195+D196+D197+D198+D202</f>
        <v>173.93816384425156</v>
      </c>
      <c r="E171" s="15">
        <f t="shared" ref="E171:F171" si="33">E174+E185+E189+E193+E194+E195+E196+E197+E198+E202</f>
        <v>11.143762512538878</v>
      </c>
      <c r="F171" s="15">
        <f t="shared" si="33"/>
        <v>11.203762512538875</v>
      </c>
      <c r="G171" s="140">
        <f>145.82+15.91</f>
        <v>161.72999999999999</v>
      </c>
    </row>
    <row r="172" spans="1:7">
      <c r="B172" s="11"/>
      <c r="C172" s="11" t="s">
        <v>74</v>
      </c>
      <c r="D172" s="11"/>
      <c r="E172" s="11"/>
      <c r="F172" s="11"/>
      <c r="G172" s="139">
        <f>G171+D196+D197</f>
        <v>144.94794451722257</v>
      </c>
    </row>
    <row r="173" spans="1:7">
      <c r="B173" s="11" t="s">
        <v>13</v>
      </c>
      <c r="C173" s="146" t="s">
        <v>98</v>
      </c>
      <c r="D173" s="147"/>
      <c r="E173" s="147"/>
      <c r="F173" s="155"/>
      <c r="G173" s="141">
        <f>G172*1.2</f>
        <v>173.93753342066708</v>
      </c>
    </row>
    <row r="174" spans="1:7">
      <c r="B174" s="18">
        <v>1</v>
      </c>
      <c r="C174" s="19" t="s">
        <v>15</v>
      </c>
      <c r="D174" s="20">
        <f t="shared" ref="D174:F174" si="34">D175+D176+D177+D181</f>
        <v>2.482209634027214</v>
      </c>
      <c r="E174" s="20">
        <f t="shared" si="34"/>
        <v>0.14912653200916398</v>
      </c>
      <c r="F174" s="20">
        <f t="shared" si="34"/>
        <v>0.14912653200916398</v>
      </c>
      <c r="G174" s="21"/>
    </row>
    <row r="175" spans="1:7">
      <c r="B175" s="22" t="s">
        <v>16</v>
      </c>
      <c r="C175" s="23" t="s">
        <v>17</v>
      </c>
      <c r="D175" s="94">
        <f>'[12]Д4 '!H12</f>
        <v>0</v>
      </c>
      <c r="E175" s="20">
        <f>'[12]Д4 '!J12/'[12]Д4 '!$J$41*1000</f>
        <v>0</v>
      </c>
      <c r="F175" s="20">
        <f>'[12]Д4 '!K12/'[12]Д4 '!$K$41*1000</f>
        <v>0</v>
      </c>
      <c r="G175" s="21"/>
    </row>
    <row r="176" spans="1:7">
      <c r="B176" s="22" t="s">
        <v>26</v>
      </c>
      <c r="C176" s="33" t="s">
        <v>27</v>
      </c>
      <c r="D176" s="94">
        <f>'[12]Д4 '!H13</f>
        <v>0</v>
      </c>
      <c r="E176" s="20">
        <f>'[12]Д4 '!J13/'[12]Д4 '!$J$41*1000</f>
        <v>0</v>
      </c>
      <c r="F176" s="20">
        <f>'[12]Д4 '!K13/'[12]Д4 '!$K$41*1000</f>
        <v>0</v>
      </c>
      <c r="G176" s="21"/>
    </row>
    <row r="177" spans="2:7">
      <c r="B177" s="22" t="s">
        <v>28</v>
      </c>
      <c r="C177" s="35" t="s">
        <v>29</v>
      </c>
      <c r="D177" s="20">
        <f t="shared" ref="D177" si="35">SUM(D178:D180)</f>
        <v>0</v>
      </c>
      <c r="E177" s="20">
        <f t="shared" ref="E177:F177" si="36">SUM(E178:E180)</f>
        <v>0</v>
      </c>
      <c r="F177" s="20">
        <f t="shared" si="36"/>
        <v>0</v>
      </c>
      <c r="G177" s="21"/>
    </row>
    <row r="178" spans="2:7">
      <c r="B178" s="24" t="s">
        <v>30</v>
      </c>
      <c r="C178" s="36" t="s">
        <v>31</v>
      </c>
      <c r="D178" s="95">
        <f>'[12]Д4 '!H15</f>
        <v>0</v>
      </c>
      <c r="E178" s="27">
        <f>'[12]Д4 '!J15/'[12]Д4 '!$J$41*1000</f>
        <v>0</v>
      </c>
      <c r="F178" s="27">
        <f>'[12]Д4 '!K15/'[12]Д4 '!$K$41*1000</f>
        <v>0</v>
      </c>
      <c r="G178" s="28"/>
    </row>
    <row r="179" spans="2:7">
      <c r="B179" s="24" t="s">
        <v>32</v>
      </c>
      <c r="C179" s="36" t="s">
        <v>33</v>
      </c>
      <c r="D179" s="95">
        <f>'[12]Д4 '!H16</f>
        <v>0</v>
      </c>
      <c r="E179" s="27">
        <f>'[12]Д4 '!J16/'[12]Д4 '!$J$41*1000</f>
        <v>0</v>
      </c>
      <c r="F179" s="27">
        <f>'[12]Д4 '!K16/'[12]Д4 '!$K$41*1000</f>
        <v>0</v>
      </c>
      <c r="G179" s="28"/>
    </row>
    <row r="180" spans="2:7">
      <c r="B180" s="24" t="s">
        <v>34</v>
      </c>
      <c r="C180" s="30" t="s">
        <v>35</v>
      </c>
      <c r="D180" s="95">
        <f>'[12]Д4 '!H17</f>
        <v>0</v>
      </c>
      <c r="E180" s="27">
        <f>'[12]Д4 '!J17/'[12]Д4 '!$J$41*1000</f>
        <v>0</v>
      </c>
      <c r="F180" s="27">
        <f>'[12]Д4 '!K17/'[12]Д4 '!$K$41*1000</f>
        <v>0</v>
      </c>
      <c r="G180" s="28"/>
    </row>
    <row r="181" spans="2:7">
      <c r="B181" s="22" t="s">
        <v>36</v>
      </c>
      <c r="C181" s="33" t="s">
        <v>37</v>
      </c>
      <c r="D181" s="20">
        <f t="shared" ref="D181" si="37">SUM(D182:D184)</f>
        <v>2.482209634027214</v>
      </c>
      <c r="E181" s="20">
        <f t="shared" ref="E181:F181" si="38">SUM(E182:E184)</f>
        <v>0.14912653200916398</v>
      </c>
      <c r="F181" s="20">
        <f t="shared" si="38"/>
        <v>0.14912653200916398</v>
      </c>
      <c r="G181" s="21"/>
    </row>
    <row r="182" spans="2:7">
      <c r="B182" s="24" t="s">
        <v>38</v>
      </c>
      <c r="C182" s="37" t="s">
        <v>27</v>
      </c>
      <c r="D182" s="95">
        <f>'[12]Д4 '!H19/'[12]Д4 '!$H$41*'Тарифи на ТЕ (2)'!$D$203</f>
        <v>1.7421070417707845</v>
      </c>
      <c r="E182" s="27">
        <f>'[12]Д4 '!J19/'[12]Д4 '!$J$41*1000</f>
        <v>0.10466254661437374</v>
      </c>
      <c r="F182" s="27">
        <f>'[12]Д4 '!K19/'[12]Д4 '!$K$41*1000</f>
        <v>0.10466254661437374</v>
      </c>
      <c r="G182" s="28"/>
    </row>
    <row r="183" spans="2:7">
      <c r="B183" s="24" t="s">
        <v>39</v>
      </c>
      <c r="C183" s="36" t="s">
        <v>31</v>
      </c>
      <c r="D183" s="95">
        <f>'[12]Д4 '!H20/'[12]Д4 '!$H$41*'Тарифи на ТЕ (2)'!$D$203</f>
        <v>0.37816896995787219</v>
      </c>
      <c r="E183" s="27">
        <f>'[12]Д4 '!J20/'[12]Д4 '!$J$41*1000</f>
        <v>2.2719687422934603E-2</v>
      </c>
      <c r="F183" s="27">
        <f>'[12]Д4 '!K20/'[12]Д4 '!$K$41*1000</f>
        <v>2.2719687422934603E-2</v>
      </c>
      <c r="G183" s="28"/>
    </row>
    <row r="184" spans="2:7">
      <c r="B184" s="24" t="s">
        <v>40</v>
      </c>
      <c r="C184" s="30" t="s">
        <v>41</v>
      </c>
      <c r="D184" s="95">
        <f>'[12]Д4 '!H21/'[12]Д4 '!$H$41*'Тарифи на ТЕ (2)'!$D$203</f>
        <v>0.36193362229855736</v>
      </c>
      <c r="E184" s="27">
        <f>'[12]Д4 '!J21/'[12]Д4 '!$J$41*1000</f>
        <v>2.174429797185564E-2</v>
      </c>
      <c r="F184" s="27">
        <f>'[12]Д4 '!K21/'[12]Д4 '!$K$41*1000</f>
        <v>2.174429797185564E-2</v>
      </c>
      <c r="G184" s="28"/>
    </row>
    <row r="185" spans="2:7">
      <c r="B185" s="22" t="s">
        <v>42</v>
      </c>
      <c r="C185" s="33" t="s">
        <v>43</v>
      </c>
      <c r="D185" s="20">
        <f t="shared" ref="D185" si="39">SUM(D186:D188)</f>
        <v>6.1212203101367351</v>
      </c>
      <c r="E185" s="20">
        <f t="shared" ref="E185:F185" si="40">SUM(E186:E188)</f>
        <v>0.36775151623021324</v>
      </c>
      <c r="F185" s="20">
        <f t="shared" si="40"/>
        <v>0.36775151623021324</v>
      </c>
      <c r="G185" s="21"/>
    </row>
    <row r="186" spans="2:7">
      <c r="B186" s="24" t="s">
        <v>44</v>
      </c>
      <c r="C186" s="37" t="s">
        <v>27</v>
      </c>
      <c r="D186" s="95">
        <f>'[12]Д4 '!H23/'[12]Д4 '!$H$41*'Тарифи на ТЕ (2)'!$D$203</f>
        <v>4.6467279928166514</v>
      </c>
      <c r="E186" s="27">
        <f>'[12]Д4 '!J23/'[12]Д4 '!$J$41*1000</f>
        <v>0.27916676386207817</v>
      </c>
      <c r="F186" s="27">
        <f>'[12]Д4 '!K23/'[12]Д4 '!$K$41*1000</f>
        <v>0.27916676386207817</v>
      </c>
      <c r="G186" s="28"/>
    </row>
    <row r="187" spans="2:7">
      <c r="B187" s="24" t="s">
        <v>45</v>
      </c>
      <c r="C187" s="36" t="s">
        <v>31</v>
      </c>
      <c r="D187" s="95">
        <f>'[12]Д4 '!H24/'[12]Д4 '!$H$41*'Тарифи на ТЕ (2)'!$D$203</f>
        <v>0.98689240730625116</v>
      </c>
      <c r="E187" s="27">
        <f>'[12]Д4 '!J24/'[12]Д4 '!$J$41*1000</f>
        <v>5.9290657867998191E-2</v>
      </c>
      <c r="F187" s="27">
        <f>'[12]Д4 '!K24/'[12]Д4 '!$K$41*1000</f>
        <v>5.9290657867998191E-2</v>
      </c>
      <c r="G187" s="28"/>
    </row>
    <row r="188" spans="2:7">
      <c r="B188" s="24" t="s">
        <v>46</v>
      </c>
      <c r="C188" s="30" t="s">
        <v>41</v>
      </c>
      <c r="D188" s="95">
        <f>'[12]Д4 '!H25/'[12]Д4 '!$H$41*'Тарифи на ТЕ (2)'!$D$203</f>
        <v>0.48759991001383274</v>
      </c>
      <c r="E188" s="27">
        <f>'[12]Д4 '!J25/'[12]Д4 '!$J$41*1000</f>
        <v>2.9294094500136845E-2</v>
      </c>
      <c r="F188" s="27">
        <f>'[12]Д4 '!K25/'[12]Д4 '!$K$41*1000</f>
        <v>2.9294094500136845E-2</v>
      </c>
      <c r="G188" s="28"/>
    </row>
    <row r="189" spans="2:7">
      <c r="B189" s="44">
        <v>3</v>
      </c>
      <c r="C189" s="40" t="s">
        <v>99</v>
      </c>
      <c r="D189" s="20">
        <f>SUM(D190:D192)</f>
        <v>146.90669058755438</v>
      </c>
      <c r="E189" s="20">
        <f>SUM(E190:E192)</f>
        <v>8.8258803752693389</v>
      </c>
      <c r="F189" s="20">
        <f>SUM(F190:F192)</f>
        <v>8.8258803752693371</v>
      </c>
      <c r="G189" s="21"/>
    </row>
    <row r="190" spans="2:7">
      <c r="B190" s="38" t="s">
        <v>100</v>
      </c>
      <c r="C190" s="39" t="s">
        <v>101</v>
      </c>
      <c r="D190" s="95">
        <f>'[12]Д4 '!H27/'[12]Д4 '!$H$41*'Тарифи на ТЕ (2)'!$D$203</f>
        <v>114.14149206058468</v>
      </c>
      <c r="E190" s="27">
        <f>'[12]Д4 '!J27/'[12]Д4 '!$J$41*1000</f>
        <v>6.8574082688295217</v>
      </c>
      <c r="F190" s="27">
        <f>'[12]Д4 '!K27/'[12]Д4 '!$K$41*1000</f>
        <v>6.8574082688295208</v>
      </c>
      <c r="G190" s="28"/>
    </row>
    <row r="191" spans="2:7">
      <c r="B191" s="38" t="s">
        <v>102</v>
      </c>
      <c r="C191" s="39" t="s">
        <v>103</v>
      </c>
      <c r="D191" s="95">
        <f>'[12]Д4 '!H28/'[12]Д4 '!$H$41*'Тарифи на ТЕ (2)'!$D$203</f>
        <v>25.111128253328634</v>
      </c>
      <c r="E191" s="27">
        <f>'[12]Д4 '!J28/'[12]Д4 '!$J$41*1000</f>
        <v>1.5086298191424949</v>
      </c>
      <c r="F191" s="27">
        <f>'[12]Д4 '!K28/'[12]Д4 '!$K$41*1000</f>
        <v>1.5086298191424947</v>
      </c>
      <c r="G191" s="28"/>
    </row>
    <row r="192" spans="2:7">
      <c r="B192" s="38" t="s">
        <v>104</v>
      </c>
      <c r="C192" s="96" t="s">
        <v>105</v>
      </c>
      <c r="D192" s="95">
        <f>'[12]Д4 '!H30/'[12]Д4 '!$H$41*'Тарифи на ТЕ (2)'!$D$203</f>
        <v>7.6540702736410564</v>
      </c>
      <c r="E192" s="27">
        <f>'[12]Д4 '!J30/'[12]Д4 '!$J$41*1000</f>
        <v>0.45984228729732235</v>
      </c>
      <c r="F192" s="27">
        <f>'[12]Д4 '!K30/'[12]Д4 '!$K$41*1000</f>
        <v>0.45984228729732241</v>
      </c>
      <c r="G192" s="28"/>
    </row>
    <row r="193" spans="2:7">
      <c r="B193" s="38">
        <v>4</v>
      </c>
      <c r="C193" s="39" t="s">
        <v>106</v>
      </c>
      <c r="D193" s="95">
        <f>'[12]Д4 '!H31</f>
        <v>0</v>
      </c>
      <c r="E193" s="27">
        <f>'[12]Д4 '!J31/'[12]Д4 '!$J$41*1000</f>
        <v>0</v>
      </c>
      <c r="F193" s="27">
        <f>'[12]Д4 '!K31/'[12]Д4 '!$K$41*1000</f>
        <v>0</v>
      </c>
      <c r="G193" s="28"/>
    </row>
    <row r="194" spans="2:7">
      <c r="B194" s="22" t="s">
        <v>51</v>
      </c>
      <c r="C194" s="35" t="s">
        <v>50</v>
      </c>
      <c r="D194" s="94">
        <f>'[12]Д4 '!H32</f>
        <v>0</v>
      </c>
      <c r="E194" s="20">
        <f>'[12]Д4 '!J32/'[12]Д4 '!$J$41*1000</f>
        <v>0</v>
      </c>
      <c r="F194" s="20">
        <f>'[12]Д4 '!K32/'[12]Д4 '!$K$41*1000</f>
        <v>0</v>
      </c>
      <c r="G194" s="21"/>
    </row>
    <row r="195" spans="2:7">
      <c r="B195" s="44" t="s">
        <v>53</v>
      </c>
      <c r="C195" s="40" t="s">
        <v>52</v>
      </c>
      <c r="D195" s="94">
        <f>'[12]Д4 '!H34</f>
        <v>0</v>
      </c>
      <c r="E195" s="20">
        <f>'[12]Д4 '!J34/'[12]Д4 '!$J$41*1000</f>
        <v>0</v>
      </c>
      <c r="F195" s="20">
        <f>'[12]Д4 '!K34/'[12]Д4 '!$K$41*1000</f>
        <v>0</v>
      </c>
      <c r="G195" s="21"/>
    </row>
    <row r="196" spans="2:7">
      <c r="B196" s="44" t="s">
        <v>55</v>
      </c>
      <c r="C196" s="40" t="s">
        <v>54</v>
      </c>
      <c r="D196" s="94">
        <f>[13]Лист3!$F$23</f>
        <v>-12.422055482777408</v>
      </c>
      <c r="E196" s="20">
        <f>[12]Д6.1!F23</f>
        <v>-0.16</v>
      </c>
      <c r="F196" s="20">
        <f>[12]Д6.1!G23</f>
        <v>-0.16</v>
      </c>
      <c r="G196" s="21"/>
    </row>
    <row r="197" spans="2:7" ht="21">
      <c r="B197" s="44" t="s">
        <v>57</v>
      </c>
      <c r="C197" s="41" t="s">
        <v>56</v>
      </c>
      <c r="D197" s="94">
        <v>-4.3600000000000003</v>
      </c>
      <c r="E197" s="20">
        <v>-0.27</v>
      </c>
      <c r="F197" s="20">
        <v>-0.22</v>
      </c>
      <c r="G197" s="21"/>
    </row>
    <row r="198" spans="2:7" ht="21">
      <c r="B198" s="97" t="s">
        <v>65</v>
      </c>
      <c r="C198" s="40" t="s">
        <v>78</v>
      </c>
      <c r="D198" s="20">
        <f t="shared" ref="D198:F198" si="41">SUM(D199:D201)</f>
        <v>6.2204048212687333</v>
      </c>
      <c r="E198" s="20">
        <f t="shared" si="41"/>
        <v>0.37371033694034855</v>
      </c>
      <c r="F198" s="20">
        <f t="shared" si="41"/>
        <v>0.37371033694034855</v>
      </c>
      <c r="G198" s="21"/>
    </row>
    <row r="199" spans="2:7">
      <c r="B199" s="38" t="s">
        <v>79</v>
      </c>
      <c r="C199" s="39" t="s">
        <v>60</v>
      </c>
      <c r="D199" s="95">
        <f>'[12]Д4 '!H36/'[12]Д4 '!$H$41*'Тарифи на ТЕ (2)'!$D$203</f>
        <v>1.1196728678283725</v>
      </c>
      <c r="E199" s="27">
        <f>'[12]Д4 '!J36/'[12]Д4 '!$J$41*1000</f>
        <v>6.7267860649262767E-2</v>
      </c>
      <c r="F199" s="27">
        <f>'[12]Д4 '!K36/'[12]Д4 '!$K$41*1000</f>
        <v>6.7267860649262781E-2</v>
      </c>
      <c r="G199" s="28"/>
    </row>
    <row r="200" spans="2:7" ht="22.5">
      <c r="B200" s="38" t="s">
        <v>80</v>
      </c>
      <c r="C200" s="39" t="s">
        <v>62</v>
      </c>
      <c r="D200" s="95">
        <f>'[12]Д4 '!H37/'[12]Д4 '!$H$41*'Тарифи на ТЕ (2)'!$D$203</f>
        <v>0</v>
      </c>
      <c r="E200" s="27">
        <f>'[12]Д4 '!J37/'[12]Д4 '!$J$41*1000</f>
        <v>0</v>
      </c>
      <c r="F200" s="27">
        <f>'[12]Д4 '!K37/'[12]Д4 '!$K$41*1000</f>
        <v>0</v>
      </c>
      <c r="G200" s="28"/>
    </row>
    <row r="201" spans="2:7">
      <c r="B201" s="38" t="s">
        <v>81</v>
      </c>
      <c r="C201" s="39" t="s">
        <v>64</v>
      </c>
      <c r="D201" s="95">
        <f>'[12]Д4 '!H38/'[12]Д4 '!$H$41*'Тарифи на ТЕ (2)'!$D$203</f>
        <v>5.100731953440361</v>
      </c>
      <c r="E201" s="27">
        <f>'[12]Д4 '!J38/'[12]Д4 '!$J$41*1000</f>
        <v>0.30644247629108579</v>
      </c>
      <c r="F201" s="27">
        <f>'[12]Д4 '!K38/'[12]Д4 '!$K$41*1000</f>
        <v>0.30644247629108579</v>
      </c>
      <c r="G201" s="28"/>
    </row>
    <row r="202" spans="2:7">
      <c r="B202" s="22" t="s">
        <v>67</v>
      </c>
      <c r="C202" s="45" t="s">
        <v>66</v>
      </c>
      <c r="D202" s="46">
        <f>(D174+D185+D189+D193+D194+D195+D196+D197+D198)*0.2</f>
        <v>28.989693974041927</v>
      </c>
      <c r="E202" s="46">
        <f t="shared" ref="E202:F202" si="42">(E174+E185+E189+E193+E194+E195+E196+E197+E198)*0.2</f>
        <v>1.857293752089813</v>
      </c>
      <c r="F202" s="46">
        <f t="shared" si="42"/>
        <v>1.8672937520898125</v>
      </c>
      <c r="G202" s="47"/>
    </row>
    <row r="203" spans="2:7" ht="21">
      <c r="B203" s="48" t="s">
        <v>82</v>
      </c>
      <c r="C203" s="66" t="s">
        <v>83</v>
      </c>
      <c r="D203" s="67">
        <f>SUM(E203:F203)</f>
        <v>16644.989999999998</v>
      </c>
      <c r="E203" s="67">
        <f>'[12]Д4 '!J41</f>
        <v>15007.559999999998</v>
      </c>
      <c r="F203" s="67">
        <f>'[12]Д4 '!K41</f>
        <v>1637.43</v>
      </c>
      <c r="G203" s="89"/>
    </row>
    <row r="204" spans="2:7">
      <c r="B204" s="3"/>
      <c r="C204" s="3"/>
      <c r="D204" s="3"/>
      <c r="E204" s="50">
        <f t="shared" ref="E204:F204" si="43">E174+E185+E189+E198</f>
        <v>9.7164687604490645</v>
      </c>
      <c r="F204" s="50">
        <f t="shared" si="43"/>
        <v>9.7164687604490627</v>
      </c>
      <c r="G204" s="50"/>
    </row>
    <row r="205" spans="2:7">
      <c r="B205" s="3"/>
      <c r="C205" s="3"/>
      <c r="D205" s="3"/>
      <c r="E205" s="3"/>
      <c r="F205" s="6"/>
      <c r="G205" s="6"/>
    </row>
    <row r="206" spans="2:7">
      <c r="B206" s="3"/>
      <c r="C206" s="3"/>
      <c r="D206" s="3"/>
      <c r="E206" s="3"/>
      <c r="F206" s="6"/>
      <c r="G206" s="6"/>
    </row>
    <row r="207" spans="2:7">
      <c r="B207" s="3"/>
      <c r="C207" s="3"/>
      <c r="D207" s="3"/>
      <c r="E207" s="3"/>
      <c r="F207" s="6"/>
      <c r="G207" s="6"/>
    </row>
    <row r="208" spans="2:7" ht="14.25">
      <c r="B208" s="52" t="s">
        <v>69</v>
      </c>
      <c r="D208" s="52"/>
      <c r="F208" s="53" t="s">
        <v>70</v>
      </c>
      <c r="G208" s="53"/>
    </row>
    <row r="209" spans="2:7">
      <c r="B209" s="3"/>
      <c r="C209" s="3"/>
      <c r="D209" s="3"/>
      <c r="E209" s="3"/>
      <c r="F209" s="6"/>
      <c r="G209" s="6"/>
    </row>
    <row r="210" spans="2:7">
      <c r="B210" s="3"/>
      <c r="C210" s="3"/>
      <c r="D210" s="3"/>
      <c r="E210" s="3"/>
      <c r="F210" s="6"/>
      <c r="G210" s="6"/>
    </row>
    <row r="211" spans="2:7">
      <c r="B211" s="3"/>
      <c r="C211" s="3"/>
      <c r="D211" s="3"/>
      <c r="E211" s="2"/>
      <c r="F211" s="2" t="s">
        <v>107</v>
      </c>
      <c r="G211" s="6"/>
    </row>
    <row r="212" spans="2:7">
      <c r="B212" s="3"/>
      <c r="C212" s="3"/>
      <c r="D212" s="3"/>
      <c r="G212" s="6"/>
    </row>
    <row r="213" spans="2:7">
      <c r="B213" s="3"/>
      <c r="C213" s="3"/>
      <c r="D213" s="3"/>
      <c r="E213" s="2" t="s">
        <v>1</v>
      </c>
      <c r="F213" s="2"/>
      <c r="G213" s="3"/>
    </row>
    <row r="214" spans="2:7">
      <c r="B214" s="3"/>
      <c r="C214" s="3"/>
      <c r="D214" s="3"/>
      <c r="E214" s="2" t="s">
        <v>2</v>
      </c>
      <c r="F214" s="2"/>
      <c r="G214" s="3"/>
    </row>
    <row r="215" spans="2:7">
      <c r="B215" s="3"/>
      <c r="C215" s="3"/>
      <c r="D215" s="3"/>
      <c r="E215" s="2" t="s">
        <v>163</v>
      </c>
      <c r="F215" s="3"/>
      <c r="G215" s="2"/>
    </row>
    <row r="216" spans="2:7">
      <c r="B216" s="3"/>
      <c r="C216" s="2"/>
      <c r="D216" s="2"/>
      <c r="F216" s="3"/>
      <c r="G216" s="3"/>
    </row>
    <row r="217" spans="2:7" ht="15" customHeight="1">
      <c r="B217" s="3"/>
      <c r="C217" s="3"/>
      <c r="D217" s="3"/>
      <c r="E217" s="3"/>
      <c r="F217" s="6"/>
      <c r="G217" s="6"/>
    </row>
    <row r="218" spans="2:7" ht="28.5" customHeight="1">
      <c r="B218" s="148" t="s">
        <v>108</v>
      </c>
      <c r="C218" s="148"/>
      <c r="D218" s="148"/>
      <c r="E218" s="148"/>
      <c r="F218" s="148"/>
      <c r="G218" s="5"/>
    </row>
    <row r="219" spans="2:7" ht="12.75" customHeight="1">
      <c r="B219" s="3"/>
      <c r="C219" s="3"/>
      <c r="D219" s="3"/>
      <c r="E219" s="3"/>
      <c r="F219" s="6"/>
      <c r="G219" s="6"/>
    </row>
    <row r="220" spans="2:7" ht="12.75" customHeight="1">
      <c r="B220" s="150" t="s">
        <v>4</v>
      </c>
      <c r="C220" s="150" t="s">
        <v>5</v>
      </c>
      <c r="D220" s="157" t="s">
        <v>6</v>
      </c>
      <c r="E220" s="153" t="s">
        <v>109</v>
      </c>
      <c r="F220" s="154"/>
      <c r="G220" s="54"/>
    </row>
    <row r="221" spans="2:7" ht="60" customHeight="1">
      <c r="B221" s="156"/>
      <c r="C221" s="151"/>
      <c r="D221" s="158"/>
      <c r="E221" s="8" t="s">
        <v>8</v>
      </c>
      <c r="F221" s="9" t="s">
        <v>9</v>
      </c>
      <c r="G221" s="10"/>
    </row>
    <row r="222" spans="2:7">
      <c r="B222" s="11">
        <v>1</v>
      </c>
      <c r="C222" s="11">
        <v>2</v>
      </c>
      <c r="D222" s="11">
        <v>3</v>
      </c>
      <c r="E222" s="11">
        <v>4</v>
      </c>
      <c r="F222" s="11">
        <v>5</v>
      </c>
      <c r="G222" s="12"/>
    </row>
    <row r="223" spans="2:7">
      <c r="B223" s="11" t="s">
        <v>10</v>
      </c>
      <c r="C223" s="146" t="s">
        <v>110</v>
      </c>
      <c r="D223" s="147"/>
      <c r="E223" s="147"/>
      <c r="F223" s="155"/>
      <c r="G223" s="16"/>
    </row>
    <row r="224" spans="2:7">
      <c r="B224" s="11">
        <v>1</v>
      </c>
      <c r="C224" s="13" t="s">
        <v>111</v>
      </c>
      <c r="D224" s="13" t="s">
        <v>112</v>
      </c>
      <c r="E224" s="98">
        <f>SUM(E225:E227)</f>
        <v>4578.9971242699175</v>
      </c>
      <c r="F224" s="98">
        <f>SUM(F225:F227)-0.01</f>
        <v>4541.4985854708148</v>
      </c>
      <c r="G224" s="99"/>
    </row>
    <row r="225" spans="2:7">
      <c r="B225" s="11" t="s">
        <v>113</v>
      </c>
      <c r="C225" s="19" t="s">
        <v>114</v>
      </c>
      <c r="D225" s="13" t="s">
        <v>112</v>
      </c>
      <c r="E225" s="98">
        <f t="shared" ref="E225:F225" si="44">E15</f>
        <v>3461.5058726738239</v>
      </c>
      <c r="F225" s="98">
        <f t="shared" si="44"/>
        <v>3431.7933338747221</v>
      </c>
      <c r="G225" s="99"/>
    </row>
    <row r="226" spans="2:7" ht="32.25">
      <c r="B226" s="11" t="s">
        <v>115</v>
      </c>
      <c r="C226" s="100" t="s">
        <v>116</v>
      </c>
      <c r="D226" s="101" t="s">
        <v>112</v>
      </c>
      <c r="E226" s="102">
        <f t="shared" ref="E226:F226" si="45">E68</f>
        <v>1106.3474890835546</v>
      </c>
      <c r="F226" s="102">
        <f t="shared" si="45"/>
        <v>1098.5114890835541</v>
      </c>
      <c r="G226" s="103"/>
    </row>
    <row r="227" spans="2:7">
      <c r="B227" s="11" t="s">
        <v>117</v>
      </c>
      <c r="C227" s="19" t="s">
        <v>118</v>
      </c>
      <c r="D227" s="13" t="s">
        <v>112</v>
      </c>
      <c r="E227" s="98">
        <f t="shared" ref="E227:F227" si="46">E171</f>
        <v>11.143762512538878</v>
      </c>
      <c r="F227" s="98">
        <f t="shared" si="46"/>
        <v>11.203762512538875</v>
      </c>
      <c r="G227" s="99"/>
    </row>
    <row r="228" spans="2:7">
      <c r="B228" s="146" t="s">
        <v>119</v>
      </c>
      <c r="C228" s="147"/>
      <c r="D228" s="147"/>
      <c r="E228" s="147"/>
      <c r="F228" s="155"/>
      <c r="G228" s="16"/>
    </row>
    <row r="229" spans="2:7">
      <c r="B229" s="18">
        <v>1</v>
      </c>
      <c r="C229" s="19" t="s">
        <v>15</v>
      </c>
      <c r="D229" s="20">
        <f t="shared" ref="D229:F229" si="47">D230+D235+D236+D240</f>
        <v>45727.770965664444</v>
      </c>
      <c r="E229" s="20">
        <f t="shared" si="47"/>
        <v>41498.600074196103</v>
      </c>
      <c r="F229" s="20">
        <f t="shared" si="47"/>
        <v>4229.170891468335</v>
      </c>
      <c r="G229" s="21"/>
    </row>
    <row r="230" spans="2:7">
      <c r="B230" s="22" t="s">
        <v>16</v>
      </c>
      <c r="C230" s="23" t="s">
        <v>17</v>
      </c>
      <c r="D230" s="20">
        <f t="shared" ref="D230" si="48">SUM(D231:D234)</f>
        <v>39739.527530291292</v>
      </c>
      <c r="E230" s="20">
        <f t="shared" ref="E230:F230" si="49">SUM(E231:E234)</f>
        <v>36064.184308379001</v>
      </c>
      <c r="F230" s="20">
        <f t="shared" si="49"/>
        <v>3675.3432219122906</v>
      </c>
      <c r="G230" s="21"/>
    </row>
    <row r="231" spans="2:7" ht="12.75" customHeight="1">
      <c r="B231" s="24" t="s">
        <v>18</v>
      </c>
      <c r="C231" s="25" t="s">
        <v>19</v>
      </c>
      <c r="D231" s="26">
        <f>SUM(E231:F231)</f>
        <v>37490.607403202215</v>
      </c>
      <c r="E231" s="27">
        <f>[12]Д2!X10/[12]Д2!X39*'Тарифи на ТЕ (2)'!$E$264</f>
        <v>34023.257427797915</v>
      </c>
      <c r="F231" s="27">
        <f>[12]Д2!AB10/[12]Д2!AB39*'Тарифи на ТЕ (2)'!$F$264</f>
        <v>3467.3499754043</v>
      </c>
      <c r="G231" s="28"/>
    </row>
    <row r="232" spans="2:7" ht="14.25" customHeight="1">
      <c r="B232" s="24" t="s">
        <v>20</v>
      </c>
      <c r="C232" s="29" t="s">
        <v>120</v>
      </c>
      <c r="D232" s="62">
        <f>D22/$D$203*'Тарифи на ТЕ (2)'!D264+D74</f>
        <v>1914.7121852602936</v>
      </c>
      <c r="E232" s="27">
        <f>D232/$D$264*$E$264</f>
        <v>1737.6284379347826</v>
      </c>
      <c r="F232" s="27">
        <f>D232/$D$264*$F$264</f>
        <v>177.08374732551104</v>
      </c>
      <c r="G232" s="28"/>
    </row>
    <row r="233" spans="2:7" ht="24.75" customHeight="1">
      <c r="B233" s="24" t="s">
        <v>22</v>
      </c>
      <c r="C233" s="30" t="s">
        <v>23</v>
      </c>
      <c r="D233" s="62">
        <f>D23/[12]Д7!G21*'Тарифи на ТЕ (2)'!D264+D75</f>
        <v>72.149857388335576</v>
      </c>
      <c r="E233" s="27">
        <f>D233/$D$264*$E$264</f>
        <v>65.477017880819318</v>
      </c>
      <c r="F233" s="27">
        <f>D233/$D$264*$F$264</f>
        <v>6.6728395075162572</v>
      </c>
      <c r="G233" s="28"/>
    </row>
    <row r="234" spans="2:7" ht="23.25" customHeight="1">
      <c r="B234" s="24" t="s">
        <v>24</v>
      </c>
      <c r="C234" s="30" t="s">
        <v>25</v>
      </c>
      <c r="D234" s="62">
        <f>D24/D203*'Тарифи на ТЕ (2)'!D264+D76</f>
        <v>262.05808444044675</v>
      </c>
      <c r="E234" s="27">
        <f>D234/$D$264*$E$264</f>
        <v>237.82142476548319</v>
      </c>
      <c r="F234" s="27">
        <f>D234/$D$264*$F$264</f>
        <v>24.236659674963558</v>
      </c>
      <c r="G234" s="28"/>
    </row>
    <row r="235" spans="2:7" ht="14.25" customHeight="1">
      <c r="B235" s="22" t="s">
        <v>26</v>
      </c>
      <c r="C235" s="33" t="s">
        <v>27</v>
      </c>
      <c r="D235" s="104">
        <f>(D25+D176)/D203*'Тарифи на ТЕ (2)'!D264+D77</f>
        <v>3609.9621158461009</v>
      </c>
      <c r="E235" s="20">
        <f>D235/$D$264*$E$264</f>
        <v>3276.0917701626558</v>
      </c>
      <c r="F235" s="20">
        <f>D235/$D$264*$F$264</f>
        <v>333.87034568344478</v>
      </c>
      <c r="G235" s="21"/>
    </row>
    <row r="236" spans="2:7" ht="10.5" customHeight="1">
      <c r="B236" s="22" t="s">
        <v>28</v>
      </c>
      <c r="C236" s="35" t="s">
        <v>29</v>
      </c>
      <c r="D236" s="20">
        <f t="shared" ref="D236" si="50">SUM(D237:D239)</f>
        <v>1856.6878959695755</v>
      </c>
      <c r="E236" s="20">
        <f t="shared" ref="E236:F236" si="51">SUM(E237:E239)</f>
        <v>1684.9705732496004</v>
      </c>
      <c r="F236" s="20">
        <f t="shared" si="51"/>
        <v>171.71732271997536</v>
      </c>
      <c r="G236" s="21"/>
    </row>
    <row r="237" spans="2:7" ht="14.25" customHeight="1">
      <c r="B237" s="24" t="s">
        <v>30</v>
      </c>
      <c r="C237" s="36" t="s">
        <v>31</v>
      </c>
      <c r="D237" s="105">
        <f>(D27+D178)/$D$203*'Тарифи на ТЕ (2)'!$D$264+D79</f>
        <v>754.28159349667715</v>
      </c>
      <c r="E237" s="27">
        <f>D237/$D$264*$E$264</f>
        <v>684.5212336142381</v>
      </c>
      <c r="F237" s="27">
        <f>D237/$D$264*$F$264</f>
        <v>69.760359882439062</v>
      </c>
      <c r="G237" s="28"/>
    </row>
    <row r="238" spans="2:7">
      <c r="B238" s="24" t="s">
        <v>32</v>
      </c>
      <c r="C238" s="36" t="s">
        <v>33</v>
      </c>
      <c r="D238" s="105">
        <f>(D28+D179)/$D$203*'Тарифи на ТЕ (2)'!$D$264+D80</f>
        <v>444.86212696656065</v>
      </c>
      <c r="E238" s="27">
        <f>D238/$D$264*$E$264</f>
        <v>403.71868353267115</v>
      </c>
      <c r="F238" s="27">
        <f>D238/$D$264*$F$264</f>
        <v>41.143443433889502</v>
      </c>
      <c r="G238" s="28"/>
    </row>
    <row r="239" spans="2:7" ht="15" customHeight="1">
      <c r="B239" s="24" t="s">
        <v>34</v>
      </c>
      <c r="C239" s="30" t="s">
        <v>35</v>
      </c>
      <c r="D239" s="105">
        <f>(D29+D180)/$D$203*'Тарифи на ТЕ (2)'!$D$264+D81</f>
        <v>657.54417550633787</v>
      </c>
      <c r="E239" s="27">
        <f>D239/$D$264*$E$264</f>
        <v>596.73065610269111</v>
      </c>
      <c r="F239" s="27">
        <f>D239/$D$264*$F$264</f>
        <v>60.813519403646801</v>
      </c>
      <c r="G239" s="28"/>
    </row>
    <row r="240" spans="2:7" ht="18.75" customHeight="1">
      <c r="B240" s="22" t="s">
        <v>36</v>
      </c>
      <c r="C240" s="33" t="s">
        <v>37</v>
      </c>
      <c r="D240" s="20">
        <f t="shared" ref="D240" si="52">SUM(D241:D243)</f>
        <v>521.59342355747492</v>
      </c>
      <c r="E240" s="20">
        <f t="shared" ref="E240:F240" si="53">SUM(E241:E243)</f>
        <v>473.35342240485073</v>
      </c>
      <c r="F240" s="20">
        <f t="shared" si="53"/>
        <v>48.240001152624195</v>
      </c>
      <c r="G240" s="21"/>
    </row>
    <row r="241" spans="2:7" ht="12.75" customHeight="1">
      <c r="B241" s="24" t="s">
        <v>38</v>
      </c>
      <c r="C241" s="37" t="s">
        <v>27</v>
      </c>
      <c r="D241" s="105">
        <f>(D31+D182)/$D$203*'Тарифи на ТЕ (2)'!$D$264+D83</f>
        <v>366.07366423219912</v>
      </c>
      <c r="E241" s="27">
        <f>D241/$D$264*$E$264</f>
        <v>332.21703723705309</v>
      </c>
      <c r="F241" s="27">
        <f>D241/$D$264*$F$264</f>
        <v>33.856626995146037</v>
      </c>
      <c r="G241" s="28"/>
    </row>
    <row r="242" spans="2:7" ht="12.75" customHeight="1">
      <c r="B242" s="24" t="s">
        <v>39</v>
      </c>
      <c r="C242" s="36" t="s">
        <v>31</v>
      </c>
      <c r="D242" s="105">
        <f>(D32+D183)/$D$203*'Тарифи на ТЕ (2)'!$D$264+D84</f>
        <v>79.465668418789079</v>
      </c>
      <c r="E242" s="27">
        <f>D242/$D$264*$E$264</f>
        <v>72.116220049653293</v>
      </c>
      <c r="F242" s="27">
        <f>D242/$D$264*$F$264</f>
        <v>7.3494483691357892</v>
      </c>
      <c r="G242" s="28"/>
    </row>
    <row r="243" spans="2:7">
      <c r="B243" s="24" t="s">
        <v>40</v>
      </c>
      <c r="C243" s="30" t="s">
        <v>41</v>
      </c>
      <c r="D243" s="105">
        <f>(D33+D184)/$D$203*'Тарифи на ТЕ (2)'!$D$264+D85</f>
        <v>76.054090906486721</v>
      </c>
      <c r="E243" s="27">
        <f>D243/$D$264*$E$264</f>
        <v>69.020165118144362</v>
      </c>
      <c r="F243" s="27">
        <f>D243/$D$264*$F$264</f>
        <v>7.0339257883423647</v>
      </c>
      <c r="G243" s="28"/>
    </row>
    <row r="244" spans="2:7" ht="21" customHeight="1">
      <c r="B244" s="22" t="s">
        <v>42</v>
      </c>
      <c r="C244" s="33" t="s">
        <v>43</v>
      </c>
      <c r="D244" s="20">
        <f t="shared" ref="D244" si="54">SUM(D245:D247)</f>
        <v>1286.2685786670195</v>
      </c>
      <c r="E244" s="20">
        <f t="shared" ref="E244:F244" si="55">SUM(E245:E247)</f>
        <v>1167.3069604505197</v>
      </c>
      <c r="F244" s="20">
        <f t="shared" si="55"/>
        <v>118.9616182164996</v>
      </c>
      <c r="G244" s="21"/>
    </row>
    <row r="245" spans="2:7" ht="14.25" customHeight="1">
      <c r="B245" s="24" t="s">
        <v>44</v>
      </c>
      <c r="C245" s="37" t="s">
        <v>27</v>
      </c>
      <c r="D245" s="105">
        <f>(D35+D186)/$D$203*'Тарифи на ТЕ (2)'!$D$264+D87</f>
        <v>976.42952025018928</v>
      </c>
      <c r="E245" s="27">
        <f>D245/$D$264*$E$264</f>
        <v>886.12362478650709</v>
      </c>
      <c r="F245" s="27">
        <f>D245/$D$264*$F$264</f>
        <v>90.305895463682162</v>
      </c>
      <c r="G245" s="28"/>
    </row>
    <row r="246" spans="2:7" ht="13.5" customHeight="1">
      <c r="B246" s="24" t="s">
        <v>45</v>
      </c>
      <c r="C246" s="36" t="s">
        <v>31</v>
      </c>
      <c r="D246" s="105">
        <f>(D36+D187)/$D$203*'Тарифи на ТЕ (2)'!$D$264+D88</f>
        <v>207.37837060707406</v>
      </c>
      <c r="E246" s="27">
        <f>D246/$D$264*$E$264</f>
        <v>188.19880969757529</v>
      </c>
      <c r="F246" s="27">
        <f>D246/$D$264*$F$264</f>
        <v>19.179560909498768</v>
      </c>
      <c r="G246" s="28"/>
    </row>
    <row r="247" spans="2:7">
      <c r="B247" s="24" t="s">
        <v>46</v>
      </c>
      <c r="C247" s="30" t="s">
        <v>41</v>
      </c>
      <c r="D247" s="105">
        <f>(D37+D188)/$D$203*'Тарифи на ТЕ (2)'!$D$264+D89</f>
        <v>102.460687809756</v>
      </c>
      <c r="E247" s="27">
        <f>D247/$D$264*$E$264</f>
        <v>92.984525966437332</v>
      </c>
      <c r="F247" s="27">
        <f>D247/$D$264*$F$264</f>
        <v>9.4761618433186694</v>
      </c>
      <c r="G247" s="28"/>
    </row>
    <row r="248" spans="2:7">
      <c r="B248" s="44">
        <v>3</v>
      </c>
      <c r="C248" s="40" t="s">
        <v>99</v>
      </c>
      <c r="D248" s="20">
        <f>SUM(D249:D251)</f>
        <v>118.24569434863184</v>
      </c>
      <c r="E248" s="20">
        <f>SUM(E249:E251)</f>
        <v>107.30964306031971</v>
      </c>
      <c r="F248" s="20">
        <f>SUM(F249:F251)</f>
        <v>10.936051288312111</v>
      </c>
      <c r="G248" s="21"/>
    </row>
    <row r="249" spans="2:7">
      <c r="B249" s="38" t="s">
        <v>100</v>
      </c>
      <c r="C249" s="39" t="s">
        <v>101</v>
      </c>
      <c r="D249" s="106">
        <f>D190/$D$203*'Тарифи на ТЕ (2)'!$D$264</f>
        <v>91.872874739144791</v>
      </c>
      <c r="E249" s="27">
        <f>D249/$D$264*$E$264</f>
        <v>83.375935584729078</v>
      </c>
      <c r="F249" s="27">
        <f>D249/$D$264*$F$264</f>
        <v>8.4969391544157027</v>
      </c>
      <c r="G249" s="28"/>
    </row>
    <row r="250" spans="2:7">
      <c r="B250" s="38" t="s">
        <v>102</v>
      </c>
      <c r="C250" s="39" t="s">
        <v>103</v>
      </c>
      <c r="D250" s="106">
        <f>D191/$D$203*'Тарифи на ТЕ (2)'!$D$264</f>
        <v>20.212032442611857</v>
      </c>
      <c r="E250" s="27">
        <f>D250/$D$264*$E$264</f>
        <v>18.342705828640405</v>
      </c>
      <c r="F250" s="27">
        <f>D250/$D$264*$F$264</f>
        <v>1.8693266139714553</v>
      </c>
      <c r="G250" s="28"/>
    </row>
    <row r="251" spans="2:7">
      <c r="B251" s="38" t="s">
        <v>104</v>
      </c>
      <c r="C251" s="96" t="s">
        <v>105</v>
      </c>
      <c r="D251" s="106">
        <f>D192/$D$203*'Тарифи на ТЕ (2)'!$D$264</f>
        <v>6.1607871668751901</v>
      </c>
      <c r="E251" s="27">
        <f>D251/$D$264*$E$264</f>
        <v>5.5910016469502386</v>
      </c>
      <c r="F251" s="27">
        <f>D251/$D$264*$F$264</f>
        <v>0.56978551992495197</v>
      </c>
      <c r="G251" s="28"/>
    </row>
    <row r="252" spans="2:7">
      <c r="B252" s="38">
        <v>4</v>
      </c>
      <c r="C252" s="39" t="s">
        <v>106</v>
      </c>
      <c r="D252" s="107">
        <f>D38+D90+D193</f>
        <v>0</v>
      </c>
      <c r="E252" s="27">
        <f>[12]Д2!X27+'[12]Д3 '!L28+'[12]Д4 '!J31</f>
        <v>0</v>
      </c>
      <c r="F252" s="27">
        <f>[12]Д2!AB27+'[12]Д3 '!M28+'[12]Д4 '!K31</f>
        <v>0</v>
      </c>
      <c r="G252" s="28"/>
    </row>
    <row r="253" spans="2:7" ht="14.25" customHeight="1">
      <c r="B253" s="22" t="s">
        <v>51</v>
      </c>
      <c r="C253" s="35" t="s">
        <v>50</v>
      </c>
      <c r="D253" s="107">
        <f>D39+D92+D194</f>
        <v>0</v>
      </c>
      <c r="E253" s="20">
        <f>[12]Д2!X28+'[12]Д3 '!L30+'[12]Д4 '!J32</f>
        <v>0</v>
      </c>
      <c r="F253" s="20">
        <f>[12]Д2!AB28+'[12]Д3 '!M30+'[12]Д4 '!K32</f>
        <v>0</v>
      </c>
      <c r="G253" s="21"/>
    </row>
    <row r="254" spans="2:7" ht="13.5" customHeight="1">
      <c r="B254" s="44" t="s">
        <v>53</v>
      </c>
      <c r="C254" s="40" t="s">
        <v>52</v>
      </c>
      <c r="D254" s="49">
        <f>D40+D93+D195</f>
        <v>0</v>
      </c>
      <c r="E254" s="20">
        <f>[12]Д2!X30+'[12]Д3 '!L32+'[12]Д4 '!J34</f>
        <v>0</v>
      </c>
      <c r="F254" s="20">
        <f>[12]Д2!AB30+'[12]Д3 '!M32+'[12]Д4 '!K34</f>
        <v>0</v>
      </c>
      <c r="G254" s="21"/>
    </row>
    <row r="255" spans="2:7" ht="13.5" customHeight="1">
      <c r="B255" s="44" t="s">
        <v>55</v>
      </c>
      <c r="C255" s="40" t="s">
        <v>54</v>
      </c>
      <c r="D255" s="49">
        <f>SUM(E255:F255)</f>
        <v>-291.64308319003175</v>
      </c>
      <c r="E255" s="20">
        <f>(E41+E94+E196)*E264/1000+(-0.105185)</f>
        <v>-264.67458019999992</v>
      </c>
      <c r="F255" s="20">
        <f>(F41+F94+F196)*F264/1000+(-0.00537)</f>
        <v>-26.968502990031816</v>
      </c>
      <c r="G255" s="21"/>
    </row>
    <row r="256" spans="2:7" ht="28.5" customHeight="1">
      <c r="B256" s="44" t="s">
        <v>57</v>
      </c>
      <c r="C256" s="41" t="s">
        <v>56</v>
      </c>
      <c r="D256" s="49">
        <f>SUM(E256:F256)</f>
        <v>2358.2570000000001</v>
      </c>
      <c r="E256" s="31">
        <v>2175.2809999999999</v>
      </c>
      <c r="F256" s="31">
        <v>182.976</v>
      </c>
      <c r="G256" s="32"/>
    </row>
    <row r="257" spans="1:7" ht="13.5" customHeight="1">
      <c r="B257" s="44" t="s">
        <v>65</v>
      </c>
      <c r="C257" s="41" t="s">
        <v>78</v>
      </c>
      <c r="D257" s="72">
        <f t="shared" ref="D257:E257" si="56">SUM(D258:D260)</f>
        <v>1885.2914095472038</v>
      </c>
      <c r="E257" s="72">
        <f t="shared" si="56"/>
        <v>1710.928667108278</v>
      </c>
      <c r="F257" s="72">
        <f>SUM(F258:F260)</f>
        <v>174.36274243892584</v>
      </c>
      <c r="G257" s="73"/>
    </row>
    <row r="258" spans="1:7" ht="13.5" customHeight="1">
      <c r="B258" s="38" t="s">
        <v>79</v>
      </c>
      <c r="C258" s="39" t="s">
        <v>60</v>
      </c>
      <c r="D258" s="107">
        <f>SUM(E258:F258)</f>
        <v>339.35245371849669</v>
      </c>
      <c r="E258" s="27">
        <f>([12]Д2!X32+'[12]Д3 '!L34+'[12]Д4 '!J36)/[12]Д7!$G$25*'Тарифи на ТЕ (2)'!$E$264</f>
        <v>307.96716007949004</v>
      </c>
      <c r="F258" s="27">
        <f>([12]Д2!AB32+'[12]Д3 '!M34+'[12]Д4 '!K36)/[12]Д7!G27*'Тарифи на ТЕ (2)'!F264</f>
        <v>31.385293639006647</v>
      </c>
      <c r="G258" s="28"/>
    </row>
    <row r="259" spans="1:7" ht="13.5" customHeight="1">
      <c r="B259" s="38" t="s">
        <v>80</v>
      </c>
      <c r="C259" s="39" t="s">
        <v>62</v>
      </c>
      <c r="D259" s="107">
        <f>D45+D98+D200</f>
        <v>0</v>
      </c>
      <c r="E259" s="27">
        <f>([12]Д2!X33+'[12]Д3 '!L35+'[12]Д4 '!J37)/[12]Д7!$G$25*'Тарифи на ТЕ (2)'!$E$264</f>
        <v>0</v>
      </c>
      <c r="F259" s="27">
        <f>[12]Д2!AB33+'[12]Д3 '!M35+'[12]Д4 '!K37</f>
        <v>0</v>
      </c>
      <c r="G259" s="28"/>
    </row>
    <row r="260" spans="1:7" ht="15" customHeight="1">
      <c r="B260" s="38" t="s">
        <v>81</v>
      </c>
      <c r="C260" s="39" t="s">
        <v>64</v>
      </c>
      <c r="D260" s="107">
        <f>SUM(E260:F260)</f>
        <v>1545.9389558287071</v>
      </c>
      <c r="E260" s="27">
        <f>([12]Д2!X34+'[12]Д3 '!L36+'[12]Д4 '!J38)/[12]Д7!$G$25*'Тарифи на ТЕ (2)'!$E$264</f>
        <v>1402.961507028788</v>
      </c>
      <c r="F260" s="27">
        <f>([12]Д2!AB34+'[12]Д3 '!M36+'[12]Д4 '!K38)/[12]Д7!G27*'Тарифи на ТЕ (2)'!F264</f>
        <v>142.97744879991919</v>
      </c>
      <c r="G260" s="28"/>
    </row>
    <row r="261" spans="1:7" ht="15.75" customHeight="1">
      <c r="B261" s="22" t="s">
        <v>67</v>
      </c>
      <c r="C261" s="35" t="s">
        <v>121</v>
      </c>
      <c r="D261" s="86">
        <f>D229+D244+D248+D252+D253+D254+D255+D256+D257</f>
        <v>51084.190565037265</v>
      </c>
      <c r="E261" s="86">
        <f t="shared" ref="E261:F261" si="57">E229+E244+E248+E252+E253+E254+E255+E256+E257</f>
        <v>46394.751764615226</v>
      </c>
      <c r="F261" s="86">
        <f t="shared" si="57"/>
        <v>4689.4388004220409</v>
      </c>
      <c r="G261" s="108"/>
    </row>
    <row r="262" spans="1:7" ht="15" customHeight="1">
      <c r="B262" s="22" t="s">
        <v>82</v>
      </c>
      <c r="C262" s="45" t="s">
        <v>66</v>
      </c>
      <c r="D262" s="46">
        <f>D261*0.2</f>
        <v>10216.838113007454</v>
      </c>
      <c r="E262" s="46">
        <f t="shared" ref="E262:F262" si="58">E261*0.2</f>
        <v>9278.950352923046</v>
      </c>
      <c r="F262" s="46">
        <f t="shared" si="58"/>
        <v>937.88776008440823</v>
      </c>
      <c r="G262" s="47"/>
    </row>
    <row r="263" spans="1:7" ht="21.75">
      <c r="B263" s="22" t="s">
        <v>93</v>
      </c>
      <c r="C263" s="35" t="s">
        <v>122</v>
      </c>
      <c r="D263" s="104">
        <f>SUM(D261:D262)</f>
        <v>61301.02867804472</v>
      </c>
      <c r="E263" s="104">
        <f>SUM(E261:E262)</f>
        <v>55673.702117538269</v>
      </c>
      <c r="F263" s="104">
        <f>SUM(F261:F262)</f>
        <v>5627.3265605064489</v>
      </c>
      <c r="G263" s="109"/>
    </row>
    <row r="264" spans="1:7" ht="21">
      <c r="B264" s="110">
        <v>13</v>
      </c>
      <c r="C264" s="66" t="s">
        <v>83</v>
      </c>
      <c r="D264" s="94">
        <f>SUM(E264:F264)</f>
        <v>13397.608999999997</v>
      </c>
      <c r="E264" s="94">
        <f t="shared" ref="E264:F264" si="59">E101</f>
        <v>12158.519999999997</v>
      </c>
      <c r="F264" s="94">
        <f t="shared" si="59"/>
        <v>1239.0890000000002</v>
      </c>
      <c r="G264" s="111"/>
    </row>
    <row r="265" spans="1:7">
      <c r="E265" s="112"/>
      <c r="F265" s="112"/>
      <c r="G265" s="112"/>
    </row>
    <row r="266" spans="1:7">
      <c r="A266" s="145">
        <f>D255+D315</f>
        <v>-362.35627260484205</v>
      </c>
      <c r="E266" s="112"/>
      <c r="F266" s="112"/>
      <c r="G266" s="112"/>
    </row>
    <row r="267" spans="1:7">
      <c r="E267" s="17"/>
      <c r="F267" s="4"/>
      <c r="G267" s="4"/>
    </row>
    <row r="268" spans="1:7">
      <c r="F268" s="4"/>
      <c r="G268" s="4"/>
    </row>
    <row r="269" spans="1:7" ht="14.25">
      <c r="B269" s="52" t="s">
        <v>69</v>
      </c>
      <c r="D269" s="52"/>
      <c r="F269" s="53" t="s">
        <v>70</v>
      </c>
      <c r="G269" s="53"/>
    </row>
    <row r="270" spans="1:7">
      <c r="F270" s="4"/>
      <c r="G270" s="4"/>
    </row>
    <row r="271" spans="1:7">
      <c r="E271" s="2"/>
      <c r="F271" s="2" t="s">
        <v>123</v>
      </c>
      <c r="G271" s="4"/>
    </row>
    <row r="272" spans="1:7">
      <c r="B272" s="3"/>
      <c r="C272" s="3"/>
      <c r="D272" s="3"/>
      <c r="G272" s="3"/>
    </row>
    <row r="273" spans="2:7">
      <c r="B273" s="3"/>
      <c r="C273" s="3"/>
      <c r="D273" s="3"/>
      <c r="E273" s="2" t="s">
        <v>1</v>
      </c>
      <c r="F273" s="2"/>
      <c r="G273" s="3"/>
    </row>
    <row r="274" spans="2:7">
      <c r="B274" s="3"/>
      <c r="C274" s="3"/>
      <c r="D274" s="3"/>
      <c r="E274" s="2" t="s">
        <v>2</v>
      </c>
      <c r="F274" s="2"/>
      <c r="G274" s="2"/>
    </row>
    <row r="275" spans="2:7">
      <c r="B275" s="3"/>
      <c r="C275" s="2"/>
      <c r="D275" s="2"/>
      <c r="E275" s="2" t="s">
        <v>163</v>
      </c>
      <c r="F275" s="3"/>
      <c r="G275" s="3"/>
    </row>
    <row r="276" spans="2:7" ht="15" customHeight="1">
      <c r="B276" s="3"/>
      <c r="C276" s="3"/>
      <c r="D276" s="3"/>
      <c r="E276" s="3"/>
      <c r="F276" s="4"/>
      <c r="G276" s="4"/>
    </row>
    <row r="277" spans="2:7" ht="36" customHeight="1">
      <c r="B277" s="148" t="s">
        <v>124</v>
      </c>
      <c r="C277" s="148"/>
      <c r="D277" s="148"/>
      <c r="E277" s="148"/>
      <c r="F277" s="148"/>
      <c r="G277" s="5"/>
    </row>
    <row r="278" spans="2:7" ht="12.75" customHeight="1">
      <c r="B278" s="3"/>
      <c r="C278" s="3"/>
      <c r="D278" s="3"/>
      <c r="E278" s="3"/>
      <c r="F278" s="4"/>
      <c r="G278" s="4"/>
    </row>
    <row r="279" spans="2:7" ht="15" customHeight="1">
      <c r="B279" s="150" t="s">
        <v>4</v>
      </c>
      <c r="C279" s="150" t="s">
        <v>5</v>
      </c>
      <c r="D279" s="157" t="s">
        <v>6</v>
      </c>
      <c r="E279" s="153" t="s">
        <v>109</v>
      </c>
      <c r="F279" s="154"/>
      <c r="G279" s="54"/>
    </row>
    <row r="280" spans="2:7" ht="69" customHeight="1">
      <c r="B280" s="156"/>
      <c r="C280" s="151"/>
      <c r="D280" s="158"/>
      <c r="E280" s="8" t="s">
        <v>8</v>
      </c>
      <c r="F280" s="9" t="s">
        <v>9</v>
      </c>
      <c r="G280" s="10"/>
    </row>
    <row r="281" spans="2:7" ht="12.75" customHeight="1">
      <c r="B281" s="11">
        <v>1</v>
      </c>
      <c r="C281" s="11">
        <v>2</v>
      </c>
      <c r="D281" s="11">
        <v>3</v>
      </c>
      <c r="E281" s="11">
        <v>4</v>
      </c>
      <c r="F281" s="11">
        <v>5</v>
      </c>
      <c r="G281" s="12"/>
    </row>
    <row r="282" spans="2:7" ht="12.75" customHeight="1">
      <c r="B282" s="11" t="s">
        <v>10</v>
      </c>
      <c r="C282" s="146" t="s">
        <v>110</v>
      </c>
      <c r="D282" s="147"/>
      <c r="E282" s="147"/>
      <c r="F282" s="155"/>
      <c r="G282" s="16"/>
    </row>
    <row r="283" spans="2:7" ht="12.75" customHeight="1">
      <c r="B283" s="11">
        <v>1</v>
      </c>
      <c r="C283" s="13" t="s">
        <v>111</v>
      </c>
      <c r="D283" s="13" t="s">
        <v>112</v>
      </c>
      <c r="E283" s="98">
        <f>SUM(E284:E286)</f>
        <v>4609.9861853221346</v>
      </c>
      <c r="F283" s="98">
        <f>SUM(F284:F286)-0.01</f>
        <v>4572.4876465230309</v>
      </c>
      <c r="G283" s="99"/>
    </row>
    <row r="284" spans="2:7" ht="12.75" customHeight="1">
      <c r="B284" s="11" t="s">
        <v>113</v>
      </c>
      <c r="C284" s="19" t="s">
        <v>114</v>
      </c>
      <c r="D284" s="13" t="s">
        <v>112</v>
      </c>
      <c r="E284" s="98">
        <f t="shared" ref="E284:F284" si="60">E15</f>
        <v>3461.5058726738239</v>
      </c>
      <c r="F284" s="98">
        <f t="shared" si="60"/>
        <v>3431.7933338747221</v>
      </c>
      <c r="G284" s="99"/>
    </row>
    <row r="285" spans="2:7" ht="34.5" customHeight="1">
      <c r="B285" s="11" t="s">
        <v>115</v>
      </c>
      <c r="C285" s="100" t="s">
        <v>125</v>
      </c>
      <c r="D285" s="101" t="s">
        <v>112</v>
      </c>
      <c r="E285" s="102">
        <f t="shared" ref="E285:F285" si="61">E119</f>
        <v>1137.3365501357716</v>
      </c>
      <c r="F285" s="102">
        <f t="shared" si="61"/>
        <v>1129.5005501357709</v>
      </c>
      <c r="G285" s="103"/>
    </row>
    <row r="286" spans="2:7" ht="12.75" customHeight="1">
      <c r="B286" s="11" t="s">
        <v>117</v>
      </c>
      <c r="C286" s="19" t="s">
        <v>118</v>
      </c>
      <c r="D286" s="13" t="s">
        <v>112</v>
      </c>
      <c r="E286" s="98">
        <f t="shared" ref="E286:F286" si="62">E171</f>
        <v>11.143762512538878</v>
      </c>
      <c r="F286" s="98">
        <f t="shared" si="62"/>
        <v>11.203762512538875</v>
      </c>
      <c r="G286" s="99"/>
    </row>
    <row r="287" spans="2:7" ht="12.75" customHeight="1">
      <c r="B287" s="146" t="s">
        <v>119</v>
      </c>
      <c r="C287" s="147"/>
      <c r="D287" s="147"/>
      <c r="E287" s="147"/>
      <c r="F287" s="155"/>
      <c r="G287" s="16"/>
    </row>
    <row r="288" spans="2:7">
      <c r="B288" s="18">
        <v>1</v>
      </c>
      <c r="C288" s="19" t="s">
        <v>15</v>
      </c>
      <c r="D288" s="20">
        <f t="shared" ref="D288:F288" si="63">D289+D294+D295+D299</f>
        <v>11083.731030383884</v>
      </c>
      <c r="E288" s="20">
        <f t="shared" si="63"/>
        <v>9724.1417175271126</v>
      </c>
      <c r="F288" s="20">
        <f t="shared" si="63"/>
        <v>1359.5893128567743</v>
      </c>
      <c r="G288" s="21"/>
    </row>
    <row r="289" spans="2:7">
      <c r="B289" s="22" t="s">
        <v>16</v>
      </c>
      <c r="C289" s="23" t="s">
        <v>17</v>
      </c>
      <c r="D289" s="20">
        <f t="shared" ref="D289:F289" si="64">SUM(D290:D293)</f>
        <v>9632.2699558439799</v>
      </c>
      <c r="E289" s="20">
        <f t="shared" si="64"/>
        <v>8450.7245669657295</v>
      </c>
      <c r="F289" s="20">
        <f t="shared" si="64"/>
        <v>1181.5453888782513</v>
      </c>
      <c r="G289" s="21"/>
    </row>
    <row r="290" spans="2:7">
      <c r="B290" s="24" t="s">
        <v>18</v>
      </c>
      <c r="C290" s="25" t="s">
        <v>19</v>
      </c>
      <c r="D290" s="26">
        <f>SUM(E290:F290)</f>
        <v>9087.1651919098585</v>
      </c>
      <c r="E290" s="27">
        <f>E231/$E$264*$E$324</f>
        <v>7972.4852483767272</v>
      </c>
      <c r="F290" s="27">
        <f>F231/$F$264*$F$324</f>
        <v>1114.6799435331311</v>
      </c>
      <c r="G290" s="28"/>
    </row>
    <row r="291" spans="2:7">
      <c r="B291" s="24" t="s">
        <v>20</v>
      </c>
      <c r="C291" s="29" t="s">
        <v>120</v>
      </c>
      <c r="D291" s="26">
        <f>SUM(E291:F291)</f>
        <v>464.09773347488783</v>
      </c>
      <c r="E291" s="27">
        <f>E232/$E$264*$E$324</f>
        <v>407.16904070674013</v>
      </c>
      <c r="F291" s="27">
        <f>F232/$F$264*$F$324</f>
        <v>56.928692768147712</v>
      </c>
      <c r="G291" s="28"/>
    </row>
    <row r="292" spans="2:7" ht="22.5">
      <c r="B292" s="24" t="s">
        <v>22</v>
      </c>
      <c r="C292" s="30" t="s">
        <v>23</v>
      </c>
      <c r="D292" s="26">
        <f>SUM(E292:F292)</f>
        <v>17.488051490052488</v>
      </c>
      <c r="E292" s="31">
        <f>E233/$E$264*$E$324</f>
        <v>15.342874216859414</v>
      </c>
      <c r="F292" s="31">
        <f>F233/$F$264*$F$324</f>
        <v>2.1451772731930738</v>
      </c>
      <c r="G292" s="32"/>
    </row>
    <row r="293" spans="2:7" ht="22.5">
      <c r="B293" s="24" t="s">
        <v>24</v>
      </c>
      <c r="C293" s="30" t="s">
        <v>25</v>
      </c>
      <c r="D293" s="26">
        <f>SUM(E293:F293)</f>
        <v>63.518978969180438</v>
      </c>
      <c r="E293" s="31">
        <f>E234/$E$264*$E$324</f>
        <v>55.727403665401084</v>
      </c>
      <c r="F293" s="31">
        <f>F234/$F$264*$F$324</f>
        <v>7.7915753037793545</v>
      </c>
      <c r="G293" s="32"/>
    </row>
    <row r="294" spans="2:7">
      <c r="B294" s="22" t="s">
        <v>26</v>
      </c>
      <c r="C294" s="33" t="s">
        <v>27</v>
      </c>
      <c r="D294" s="34">
        <f>SUM(E294:F294)</f>
        <v>875.0010830826925</v>
      </c>
      <c r="E294" s="20">
        <f>E235/$E$264*$E$324</f>
        <v>767.668803181984</v>
      </c>
      <c r="F294" s="20">
        <f>F235/$F$264*$F$324</f>
        <v>107.33227990070853</v>
      </c>
      <c r="G294" s="21"/>
    </row>
    <row r="295" spans="2:7">
      <c r="B295" s="22" t="s">
        <v>28</v>
      </c>
      <c r="C295" s="35" t="s">
        <v>29</v>
      </c>
      <c r="D295" s="20">
        <f t="shared" ref="D295" si="65">SUM(D296:D298)</f>
        <v>450.03350943452506</v>
      </c>
      <c r="E295" s="20">
        <f t="shared" ref="E295:F295" si="66">SUM(E296:E298)</f>
        <v>394.83000908096074</v>
      </c>
      <c r="F295" s="20">
        <f t="shared" si="66"/>
        <v>55.203500353564351</v>
      </c>
      <c r="G295" s="21"/>
    </row>
    <row r="296" spans="2:7">
      <c r="B296" s="24" t="s">
        <v>30</v>
      </c>
      <c r="C296" s="36" t="s">
        <v>31</v>
      </c>
      <c r="D296" s="26">
        <f>SUM(E296:F296)</f>
        <v>182.82663088397592</v>
      </c>
      <c r="E296" s="27">
        <f>E237/$E$264*$E$324</f>
        <v>160.40014536442837</v>
      </c>
      <c r="F296" s="27">
        <f>F237/$F$264*$F$324</f>
        <v>22.426485519547548</v>
      </c>
      <c r="G296" s="28"/>
    </row>
    <row r="297" spans="2:7">
      <c r="B297" s="24" t="s">
        <v>32</v>
      </c>
      <c r="C297" s="36" t="s">
        <v>33</v>
      </c>
      <c r="D297" s="26">
        <f>SUM(E297:F297)</f>
        <v>107.82795786403358</v>
      </c>
      <c r="E297" s="27">
        <f>E238/$E$264*$E$324</f>
        <v>94.601207888124691</v>
      </c>
      <c r="F297" s="27">
        <f>F238/$F$264*$F$324</f>
        <v>13.226749975908893</v>
      </c>
      <c r="G297" s="28"/>
    </row>
    <row r="298" spans="2:7">
      <c r="B298" s="24" t="s">
        <v>34</v>
      </c>
      <c r="C298" s="30" t="s">
        <v>35</v>
      </c>
      <c r="D298" s="26">
        <f>SUM(E298:F298)</f>
        <v>159.37892068651558</v>
      </c>
      <c r="E298" s="27">
        <f>E239/$E$264*$E$324</f>
        <v>139.82865582840768</v>
      </c>
      <c r="F298" s="27">
        <f>F239/$F$264*$F$324</f>
        <v>19.550264858107905</v>
      </c>
      <c r="G298" s="28"/>
    </row>
    <row r="299" spans="2:7">
      <c r="B299" s="22" t="s">
        <v>36</v>
      </c>
      <c r="C299" s="33" t="s">
        <v>37</v>
      </c>
      <c r="D299" s="20">
        <f t="shared" ref="D299" si="67">SUM(D300:D302)</f>
        <v>126.42648202268754</v>
      </c>
      <c r="E299" s="20">
        <f t="shared" ref="E299:F299" si="68">SUM(E300:E302)</f>
        <v>110.91833829843733</v>
      </c>
      <c r="F299" s="20">
        <f t="shared" si="68"/>
        <v>15.508143724250209</v>
      </c>
      <c r="G299" s="21"/>
    </row>
    <row r="300" spans="2:7">
      <c r="B300" s="24" t="s">
        <v>38</v>
      </c>
      <c r="C300" s="37" t="s">
        <v>27</v>
      </c>
      <c r="D300" s="26">
        <f>SUM(E300:F300)</f>
        <v>88.730807252848109</v>
      </c>
      <c r="E300" s="27">
        <f>E241/$E$264*$E$324</f>
        <v>77.846615194107002</v>
      </c>
      <c r="F300" s="27">
        <f>F241/$F$264*$F$324</f>
        <v>10.88419205874111</v>
      </c>
      <c r="G300" s="28"/>
    </row>
    <row r="301" spans="2:7">
      <c r="B301" s="24" t="s">
        <v>39</v>
      </c>
      <c r="C301" s="36" t="s">
        <v>31</v>
      </c>
      <c r="D301" s="26">
        <f>SUM(E301:F301)</f>
        <v>19.261295188975566</v>
      </c>
      <c r="E301" s="27">
        <f>E242/$E$264*$E$324</f>
        <v>16.898602426139387</v>
      </c>
      <c r="F301" s="27">
        <f>F242/$F$264*$F$324</f>
        <v>2.3626927628361796</v>
      </c>
      <c r="G301" s="28"/>
    </row>
    <row r="302" spans="2:7">
      <c r="B302" s="24" t="s">
        <v>40</v>
      </c>
      <c r="C302" s="30" t="s">
        <v>41</v>
      </c>
      <c r="D302" s="26">
        <f>SUM(E302:F302)</f>
        <v>18.434379580863858</v>
      </c>
      <c r="E302" s="27">
        <f>E243/$E$264*$E$324</f>
        <v>16.173120678190937</v>
      </c>
      <c r="F302" s="27">
        <f>F243/$F$264*$F$324</f>
        <v>2.2612589026729197</v>
      </c>
      <c r="G302" s="28"/>
    </row>
    <row r="303" spans="2:7">
      <c r="B303" s="22" t="s">
        <v>42</v>
      </c>
      <c r="C303" s="33" t="s">
        <v>43</v>
      </c>
      <c r="D303" s="20">
        <f t="shared" ref="D303" si="69">SUM(D304:D306)</f>
        <v>311.77235753486201</v>
      </c>
      <c r="E303" s="20">
        <f t="shared" ref="E303:F303" si="70">SUM(E304:E306)</f>
        <v>273.52870436549432</v>
      </c>
      <c r="F303" s="20">
        <f t="shared" si="70"/>
        <v>38.243653169367697</v>
      </c>
      <c r="G303" s="21"/>
    </row>
    <row r="304" spans="2:7">
      <c r="B304" s="24" t="s">
        <v>44</v>
      </c>
      <c r="C304" s="37" t="s">
        <v>27</v>
      </c>
      <c r="D304" s="26">
        <f>SUM(E304:F304)</f>
        <v>236.67198168714884</v>
      </c>
      <c r="E304" s="27">
        <f>E245/$E$264*$E$324</f>
        <v>207.64053947040847</v>
      </c>
      <c r="F304" s="27">
        <f>F245/$F$264*$F$324</f>
        <v>29.031442216740366</v>
      </c>
      <c r="G304" s="28"/>
    </row>
    <row r="305" spans="2:7">
      <c r="B305" s="24" t="s">
        <v>45</v>
      </c>
      <c r="C305" s="36" t="s">
        <v>31</v>
      </c>
      <c r="D305" s="26">
        <f>SUM(E305:F305)</f>
        <v>50.265430236124288</v>
      </c>
      <c r="E305" s="27">
        <f>E246/$E$264*$E$324</f>
        <v>44.09960560831253</v>
      </c>
      <c r="F305" s="27">
        <f>F246/$F$264*$F$324</f>
        <v>6.1658246278117605</v>
      </c>
      <c r="G305" s="28"/>
    </row>
    <row r="306" spans="2:7">
      <c r="B306" s="24" t="s">
        <v>46</v>
      </c>
      <c r="C306" s="30" t="s">
        <v>41</v>
      </c>
      <c r="D306" s="26">
        <f>SUM(E306:F306)</f>
        <v>24.834945611588854</v>
      </c>
      <c r="E306" s="27">
        <f>E247/$E$264*$E$324</f>
        <v>21.788559286773282</v>
      </c>
      <c r="F306" s="27">
        <f>F247/$F$264*$F$324</f>
        <v>3.0463863248155709</v>
      </c>
      <c r="G306" s="28"/>
    </row>
    <row r="307" spans="2:7">
      <c r="B307" s="44">
        <v>3</v>
      </c>
      <c r="C307" s="40" t="s">
        <v>99</v>
      </c>
      <c r="D307" s="20">
        <f>SUM(D308:D310)</f>
        <v>28.660996238922518</v>
      </c>
      <c r="E307" s="20">
        <f>SUM(E308:E310)</f>
        <v>25.145286224357353</v>
      </c>
      <c r="F307" s="20">
        <f>SUM(F308:F310)</f>
        <v>3.5157100145651627</v>
      </c>
      <c r="G307" s="21"/>
    </row>
    <row r="308" spans="2:7">
      <c r="B308" s="38" t="s">
        <v>100</v>
      </c>
      <c r="C308" s="39" t="s">
        <v>101</v>
      </c>
      <c r="D308" s="26">
        <f>SUM(E308:F308)</f>
        <v>22.268617321439876</v>
      </c>
      <c r="E308" s="27">
        <f>E249/$E$264*$E$324</f>
        <v>19.537030454226056</v>
      </c>
      <c r="F308" s="27">
        <f>F249/$F$264*$F$324</f>
        <v>2.7315868672138195</v>
      </c>
      <c r="G308" s="28"/>
    </row>
    <row r="309" spans="2:7">
      <c r="B309" s="38" t="s">
        <v>102</v>
      </c>
      <c r="C309" s="39" t="s">
        <v>103</v>
      </c>
      <c r="D309" s="26">
        <f>SUM(E309:F309)</f>
        <v>4.8990958107167755</v>
      </c>
      <c r="E309" s="27">
        <f>E250/$E$264*$E$324</f>
        <v>4.2981466999297346</v>
      </c>
      <c r="F309" s="27">
        <f>F250/$F$264*$F$324</f>
        <v>0.6009491107870405</v>
      </c>
      <c r="G309" s="28"/>
    </row>
    <row r="310" spans="2:7">
      <c r="B310" s="38" t="s">
        <v>104</v>
      </c>
      <c r="C310" s="96" t="s">
        <v>105</v>
      </c>
      <c r="D310" s="26">
        <f>SUM(E310:F310)</f>
        <v>1.4932831067658661</v>
      </c>
      <c r="E310" s="27">
        <f>E251/$E$264*$E$324</f>
        <v>1.3101090702015634</v>
      </c>
      <c r="F310" s="27">
        <f>F251/$F$264*$F$324</f>
        <v>0.18317403656430267</v>
      </c>
      <c r="G310" s="28"/>
    </row>
    <row r="311" spans="2:7">
      <c r="B311" s="38">
        <v>4</v>
      </c>
      <c r="C311" s="39" t="s">
        <v>106</v>
      </c>
      <c r="D311" s="26">
        <f>SUM(E311:F311)</f>
        <v>0</v>
      </c>
      <c r="E311" s="27">
        <f>E252/$E$264*$E$324</f>
        <v>0</v>
      </c>
      <c r="F311" s="27">
        <f>F252/$F$264*$F$324</f>
        <v>0</v>
      </c>
      <c r="G311" s="28"/>
    </row>
    <row r="312" spans="2:7">
      <c r="B312" s="44" t="s">
        <v>51</v>
      </c>
      <c r="C312" s="63" t="s">
        <v>126</v>
      </c>
      <c r="D312" s="113">
        <f>D142</f>
        <v>80.635647491033339</v>
      </c>
      <c r="E312" s="42">
        <f t="shared" ref="E312:F312" si="71">E142*E152/1000</f>
        <v>70.74445072132086</v>
      </c>
      <c r="F312" s="42">
        <f t="shared" si="71"/>
        <v>9.8911967697124918</v>
      </c>
      <c r="G312" s="43"/>
    </row>
    <row r="313" spans="2:7">
      <c r="B313" s="22" t="s">
        <v>53</v>
      </c>
      <c r="C313" s="35" t="s">
        <v>50</v>
      </c>
      <c r="D313" s="86">
        <f>D253/$D$264*$D$324</f>
        <v>0</v>
      </c>
      <c r="E313" s="20">
        <f>E253/$E$264*$E$324</f>
        <v>0</v>
      </c>
      <c r="F313" s="20">
        <f>F253/$F$264*$F$324</f>
        <v>0</v>
      </c>
      <c r="G313" s="21"/>
    </row>
    <row r="314" spans="2:7" ht="17.25" customHeight="1">
      <c r="B314" s="44" t="s">
        <v>55</v>
      </c>
      <c r="C314" s="40" t="s">
        <v>52</v>
      </c>
      <c r="D314" s="86">
        <f>D254/$D$264*$D$324</f>
        <v>0</v>
      </c>
      <c r="E314" s="20">
        <f>E254/$E$264*$E$324</f>
        <v>0</v>
      </c>
      <c r="F314" s="20">
        <f>F254/$F$264*$F$324</f>
        <v>0</v>
      </c>
      <c r="G314" s="21"/>
    </row>
    <row r="315" spans="2:7" ht="17.25" customHeight="1">
      <c r="B315" s="44" t="s">
        <v>57</v>
      </c>
      <c r="C315" s="40" t="s">
        <v>54</v>
      </c>
      <c r="D315" s="86">
        <f>SUM(E315:F315)</f>
        <v>-70.713189414810273</v>
      </c>
      <c r="E315" s="20">
        <f>(E196+E145+E41)*E324/1000-0.05</f>
        <v>-62.045110399999984</v>
      </c>
      <c r="F315" s="20">
        <f>(F196+F145+F41)*F324/1000</f>
        <v>-8.6680790148102851</v>
      </c>
      <c r="G315" s="21"/>
    </row>
    <row r="316" spans="2:7" ht="29.25" customHeight="1">
      <c r="B316" s="44" t="s">
        <v>65</v>
      </c>
      <c r="C316" s="41" t="s">
        <v>56</v>
      </c>
      <c r="D316" s="49">
        <f>SUM(E316:F316)</f>
        <v>568.54499999999996</v>
      </c>
      <c r="E316" s="42">
        <v>509.72199999999998</v>
      </c>
      <c r="F316" s="42">
        <v>58.823</v>
      </c>
      <c r="G316" s="43"/>
    </row>
    <row r="317" spans="2:7" ht="21">
      <c r="B317" s="44" t="s">
        <v>67</v>
      </c>
      <c r="C317" s="40" t="s">
        <v>78</v>
      </c>
      <c r="D317" s="20">
        <f t="shared" ref="D317:F317" si="72">SUM(D318:D320)</f>
        <v>460.19200126594808</v>
      </c>
      <c r="E317" s="20">
        <f t="shared" si="72"/>
        <v>403.74240635353129</v>
      </c>
      <c r="F317" s="20">
        <f t="shared" si="72"/>
        <v>56.449594912416778</v>
      </c>
      <c r="G317" s="21"/>
    </row>
    <row r="318" spans="2:7">
      <c r="B318" s="38" t="s">
        <v>90</v>
      </c>
      <c r="C318" s="39" t="s">
        <v>60</v>
      </c>
      <c r="D318" s="26">
        <f>SUM(E318:F318)</f>
        <v>82.834560227870654</v>
      </c>
      <c r="E318" s="27">
        <f>[12]Д2!X32/[12]Д2!$X$39*'Тарифи на ТЕ (2)'!$E$324+[12]Д3.1!L35+'[12]Д4 '!J36/'[12]Д4 '!$J$41*'Тарифи на ТЕ (2)'!$E$324</f>
        <v>72.673633143635627</v>
      </c>
      <c r="F318" s="27">
        <f>[12]Д2!AB32/[12]Д2!$AB$39*'Тарифи на ТЕ (2)'!$F$324+[12]Д3.1!M35+'[12]Д4 '!K36/'[12]Д4 '!$K$41*'Тарифи на ТЕ (2)'!$F$324</f>
        <v>10.160927084235022</v>
      </c>
      <c r="G318" s="28"/>
    </row>
    <row r="319" spans="2:7" ht="22.5">
      <c r="B319" s="38" t="s">
        <v>91</v>
      </c>
      <c r="C319" s="39" t="s">
        <v>62</v>
      </c>
      <c r="D319" s="26">
        <f>SUM(E319:F319)</f>
        <v>0</v>
      </c>
      <c r="E319" s="31">
        <f>[12]Д2!X33/[12]Д2!$X$39*'Тарифи на ТЕ (2)'!$E$324+[12]Д3.1!L36+'[12]Д4 '!J37/'[12]Д4 '!$J$41*'Тарифи на ТЕ (2)'!$E$324</f>
        <v>0</v>
      </c>
      <c r="F319" s="31">
        <f>[12]Д2!AB33/[12]Д2!$AB$39*'Тарифи на ТЕ (2)'!$F$324+[12]Д3.1!M36+'[12]Д4 '!K37/'[12]Д4 '!$K$41*'Тарифи на ТЕ (2)'!$F$324</f>
        <v>0</v>
      </c>
      <c r="G319" s="32"/>
    </row>
    <row r="320" spans="2:7" ht="15" customHeight="1">
      <c r="B320" s="38" t="s">
        <v>92</v>
      </c>
      <c r="C320" s="39" t="s">
        <v>127</v>
      </c>
      <c r="D320" s="105">
        <f>SUM(E320:F320)</f>
        <v>377.35744103807741</v>
      </c>
      <c r="E320" s="27">
        <f>[12]Д2!X34/[12]Д2!$X$39*'Тарифи на ТЕ (2)'!$E$324+[12]Д3.1!L37+'[12]Д4 '!J38/'[12]Д4 '!$J$41*'Тарифи на ТЕ (2)'!$E$324</f>
        <v>331.06877320989565</v>
      </c>
      <c r="F320" s="27">
        <f>[12]Д2!AB34/[12]Д2!$AB$39*'Тарифи на ТЕ (2)'!$F$324+[12]Д3.1!M37+'[12]Д4 '!K38/'[12]Д4 '!$K$41*'Тарифи на ТЕ (2)'!$F$324</f>
        <v>46.288667828181758</v>
      </c>
      <c r="G320" s="28"/>
    </row>
    <row r="321" spans="2:7" ht="16.5" customHeight="1">
      <c r="B321" s="44" t="s">
        <v>82</v>
      </c>
      <c r="C321" s="35" t="s">
        <v>128</v>
      </c>
      <c r="D321" s="86">
        <f>D288+D303+D307+D311+D312+D313+D314+D315+D316+D317</f>
        <v>12462.823843499842</v>
      </c>
      <c r="E321" s="86">
        <f t="shared" ref="E321:F321" si="73">E288+E303+E307+E311+E312+E313+E314+E315+E316+E317</f>
        <v>10944.979454791814</v>
      </c>
      <c r="F321" s="86">
        <f t="shared" si="73"/>
        <v>1517.8443887080264</v>
      </c>
      <c r="G321" s="108"/>
    </row>
    <row r="322" spans="2:7">
      <c r="B322" s="22" t="s">
        <v>93</v>
      </c>
      <c r="C322" s="45" t="s">
        <v>66</v>
      </c>
      <c r="D322" s="46">
        <f>(D321)*0.2</f>
        <v>2492.5647686999687</v>
      </c>
      <c r="E322" s="46">
        <f t="shared" ref="E322:F322" si="74">(E321)*0.2</f>
        <v>2188.9958909583629</v>
      </c>
      <c r="F322" s="46">
        <f t="shared" si="74"/>
        <v>303.56887774160526</v>
      </c>
      <c r="G322" s="47"/>
    </row>
    <row r="323" spans="2:7" ht="21.75">
      <c r="B323" s="48" t="s">
        <v>129</v>
      </c>
      <c r="C323" s="35" t="s">
        <v>122</v>
      </c>
      <c r="D323" s="104">
        <f>SUM(D321:D322)</f>
        <v>14955.388612199811</v>
      </c>
      <c r="E323" s="104">
        <f t="shared" ref="E323:F323" si="75">SUM(E321:E322)</f>
        <v>13133.975345750176</v>
      </c>
      <c r="F323" s="104">
        <f t="shared" si="75"/>
        <v>1821.4132664496317</v>
      </c>
      <c r="G323" s="109"/>
    </row>
    <row r="324" spans="2:7" ht="25.5" customHeight="1">
      <c r="B324" s="48" t="s">
        <v>130</v>
      </c>
      <c r="C324" s="66" t="s">
        <v>94</v>
      </c>
      <c r="D324" s="67">
        <f>SUM(E324:F324)</f>
        <v>3247.3809999999999</v>
      </c>
      <c r="E324" s="67">
        <f t="shared" ref="E324:F324" si="76">E152</f>
        <v>2849.04</v>
      </c>
      <c r="F324" s="67">
        <f t="shared" si="76"/>
        <v>398.34099999999995</v>
      </c>
      <c r="G324" s="89"/>
    </row>
    <row r="325" spans="2:7" ht="21" hidden="1" customHeight="1">
      <c r="B325" s="22"/>
      <c r="C325" s="66" t="s">
        <v>94</v>
      </c>
      <c r="D325" s="66"/>
      <c r="E325" s="20"/>
      <c r="F325" s="20"/>
      <c r="G325" s="21"/>
    </row>
    <row r="326" spans="2:7">
      <c r="E326" s="114"/>
      <c r="F326" s="114"/>
      <c r="G326" s="114"/>
    </row>
    <row r="328" spans="2:7" ht="14.25">
      <c r="B328" s="52" t="s">
        <v>69</v>
      </c>
      <c r="D328" s="52"/>
      <c r="F328" s="53" t="s">
        <v>70</v>
      </c>
      <c r="G328" s="53"/>
    </row>
    <row r="331" spans="2:7">
      <c r="E331" s="2"/>
      <c r="F331" s="2" t="s">
        <v>131</v>
      </c>
    </row>
    <row r="332" spans="2:7">
      <c r="B332" s="3"/>
      <c r="C332" s="3"/>
      <c r="D332" s="3"/>
      <c r="G332" s="3"/>
    </row>
    <row r="333" spans="2:7">
      <c r="B333" s="3"/>
      <c r="C333" s="3"/>
      <c r="D333" s="3"/>
      <c r="E333" s="2" t="s">
        <v>1</v>
      </c>
      <c r="F333" s="2"/>
      <c r="G333" s="3"/>
    </row>
    <row r="334" spans="2:7">
      <c r="B334" s="3"/>
      <c r="C334" s="3"/>
      <c r="D334" s="3"/>
      <c r="E334" s="2" t="s">
        <v>2</v>
      </c>
      <c r="F334" s="2"/>
      <c r="G334" s="2"/>
    </row>
    <row r="335" spans="2:7">
      <c r="B335" s="3"/>
      <c r="C335" s="2"/>
      <c r="D335" s="2"/>
      <c r="E335" s="2" t="s">
        <v>163</v>
      </c>
      <c r="F335" s="3"/>
      <c r="G335" s="3"/>
    </row>
    <row r="336" spans="2:7" ht="15" customHeight="1">
      <c r="B336" s="3"/>
      <c r="C336" s="3"/>
      <c r="D336" s="3"/>
      <c r="F336" s="6"/>
      <c r="G336" s="6"/>
    </row>
    <row r="337" spans="2:7" ht="42.75" customHeight="1">
      <c r="B337" s="148" t="s">
        <v>132</v>
      </c>
      <c r="C337" s="148"/>
      <c r="D337" s="148"/>
      <c r="E337" s="148"/>
      <c r="F337" s="148"/>
      <c r="G337" s="5"/>
    </row>
    <row r="338" spans="2:7">
      <c r="B338" s="3"/>
      <c r="C338" s="3"/>
      <c r="D338" s="3"/>
      <c r="E338" s="3"/>
      <c r="F338" s="6"/>
      <c r="G338" s="6"/>
    </row>
    <row r="339" spans="2:7" ht="12.75" customHeight="1">
      <c r="B339" s="3"/>
      <c r="C339" s="3"/>
      <c r="D339" s="3"/>
      <c r="E339" s="3"/>
      <c r="F339" s="6"/>
      <c r="G339" s="6"/>
    </row>
    <row r="340" spans="2:7" ht="18.75" customHeight="1">
      <c r="B340" s="149" t="s">
        <v>4</v>
      </c>
      <c r="C340" s="150" t="s">
        <v>5</v>
      </c>
      <c r="D340" s="152" t="s">
        <v>6</v>
      </c>
      <c r="E340" s="153" t="s">
        <v>109</v>
      </c>
      <c r="F340" s="154"/>
      <c r="G340" s="54"/>
    </row>
    <row r="341" spans="2:7" ht="59.25" customHeight="1">
      <c r="B341" s="149"/>
      <c r="C341" s="151"/>
      <c r="D341" s="152"/>
      <c r="E341" s="115" t="s">
        <v>133</v>
      </c>
      <c r="F341" s="115" t="s">
        <v>134</v>
      </c>
      <c r="G341" s="116"/>
    </row>
    <row r="342" spans="2:7">
      <c r="B342" s="11">
        <v>1</v>
      </c>
      <c r="C342" s="11">
        <v>2</v>
      </c>
      <c r="D342" s="11">
        <v>3</v>
      </c>
      <c r="E342" s="11">
        <v>4</v>
      </c>
      <c r="F342" s="11">
        <v>5</v>
      </c>
      <c r="G342" s="12"/>
    </row>
    <row r="343" spans="2:7" ht="32.25">
      <c r="B343" s="11">
        <v>1</v>
      </c>
      <c r="C343" s="117" t="s">
        <v>135</v>
      </c>
      <c r="D343" s="101" t="s">
        <v>112</v>
      </c>
      <c r="E343" s="102">
        <f>E224</f>
        <v>4578.9971242699175</v>
      </c>
      <c r="F343" s="102">
        <f>F224</f>
        <v>4541.4985854708148</v>
      </c>
      <c r="G343" s="103"/>
    </row>
    <row r="344" spans="2:7">
      <c r="B344" s="146" t="s">
        <v>136</v>
      </c>
      <c r="C344" s="147"/>
      <c r="D344" s="147"/>
      <c r="E344" s="147"/>
      <c r="F344" s="147"/>
      <c r="G344" s="16"/>
    </row>
    <row r="345" spans="2:7">
      <c r="B345" s="18">
        <v>1</v>
      </c>
      <c r="C345" s="19" t="s">
        <v>15</v>
      </c>
      <c r="D345" s="20">
        <f t="shared" ref="D345" si="77">D346+D351+D352+D356</f>
        <v>45727.770965664444</v>
      </c>
      <c r="E345" s="20">
        <f>E346+E351+E352+E356</f>
        <v>41498.600074196103</v>
      </c>
      <c r="F345" s="20">
        <f>F346+F351+F352+F356</f>
        <v>4229.170891468335</v>
      </c>
      <c r="G345" s="21"/>
    </row>
    <row r="346" spans="2:7">
      <c r="B346" s="22" t="s">
        <v>16</v>
      </c>
      <c r="C346" s="23" t="s">
        <v>17</v>
      </c>
      <c r="D346" s="20">
        <f t="shared" ref="D346" si="78">SUM(D347:D350)</f>
        <v>39739.527530291292</v>
      </c>
      <c r="E346" s="20">
        <f>SUM(E347:E350)</f>
        <v>36064.184308379001</v>
      </c>
      <c r="F346" s="20">
        <f>SUM(F347:F350)</f>
        <v>3675.3432219122906</v>
      </c>
      <c r="G346" s="21"/>
    </row>
    <row r="347" spans="2:7">
      <c r="B347" s="24" t="s">
        <v>18</v>
      </c>
      <c r="C347" s="25" t="s">
        <v>19</v>
      </c>
      <c r="D347" s="26">
        <f>SUM(E347:F347)</f>
        <v>37490.607403202215</v>
      </c>
      <c r="E347" s="27">
        <f t="shared" ref="E347:F351" si="79">E231</f>
        <v>34023.257427797915</v>
      </c>
      <c r="F347" s="27">
        <f t="shared" si="79"/>
        <v>3467.3499754043</v>
      </c>
      <c r="G347" s="28"/>
    </row>
    <row r="348" spans="2:7">
      <c r="B348" s="24" t="s">
        <v>20</v>
      </c>
      <c r="C348" s="29" t="s">
        <v>120</v>
      </c>
      <c r="D348" s="26">
        <f>SUM(E348:F348)</f>
        <v>1914.7121852602936</v>
      </c>
      <c r="E348" s="27">
        <f t="shared" si="79"/>
        <v>1737.6284379347826</v>
      </c>
      <c r="F348" s="27">
        <f t="shared" si="79"/>
        <v>177.08374732551104</v>
      </c>
      <c r="G348" s="28"/>
    </row>
    <row r="349" spans="2:7" ht="22.5">
      <c r="B349" s="24" t="s">
        <v>22</v>
      </c>
      <c r="C349" s="30" t="s">
        <v>23</v>
      </c>
      <c r="D349" s="105">
        <f>SUM(E349:F349)</f>
        <v>72.149857388335576</v>
      </c>
      <c r="E349" s="27">
        <f t="shared" si="79"/>
        <v>65.477017880819318</v>
      </c>
      <c r="F349" s="27">
        <f t="shared" si="79"/>
        <v>6.6728395075162572</v>
      </c>
      <c r="G349" s="28"/>
    </row>
    <row r="350" spans="2:7" ht="22.5">
      <c r="B350" s="24" t="s">
        <v>24</v>
      </c>
      <c r="C350" s="30" t="s">
        <v>25</v>
      </c>
      <c r="D350" s="105">
        <f>SUM(E350:F350)</f>
        <v>262.05808444044675</v>
      </c>
      <c r="E350" s="27">
        <f t="shared" si="79"/>
        <v>237.82142476548319</v>
      </c>
      <c r="F350" s="27">
        <f t="shared" si="79"/>
        <v>24.236659674963558</v>
      </c>
      <c r="G350" s="28"/>
    </row>
    <row r="351" spans="2:7">
      <c r="B351" s="22" t="s">
        <v>26</v>
      </c>
      <c r="C351" s="33" t="s">
        <v>27</v>
      </c>
      <c r="D351" s="104">
        <f>SUM(E351:F351)</f>
        <v>3609.9621158461005</v>
      </c>
      <c r="E351" s="20">
        <f t="shared" si="79"/>
        <v>3276.0917701626558</v>
      </c>
      <c r="F351" s="20">
        <f t="shared" si="79"/>
        <v>333.87034568344478</v>
      </c>
      <c r="G351" s="21"/>
    </row>
    <row r="352" spans="2:7">
      <c r="B352" s="22" t="s">
        <v>28</v>
      </c>
      <c r="C352" s="35" t="s">
        <v>29</v>
      </c>
      <c r="D352" s="20">
        <f t="shared" ref="D352" si="80">SUM(D353:D355)</f>
        <v>1856.6878959695755</v>
      </c>
      <c r="E352" s="20">
        <f>SUM(E353:E355)</f>
        <v>1684.9705732496004</v>
      </c>
      <c r="F352" s="20">
        <f>SUM(F353:F355)</f>
        <v>171.71732271997536</v>
      </c>
      <c r="G352" s="21"/>
    </row>
    <row r="353" spans="2:7">
      <c r="B353" s="24" t="s">
        <v>30</v>
      </c>
      <c r="C353" s="36" t="s">
        <v>31</v>
      </c>
      <c r="D353" s="105">
        <f>SUM(E353:F353)</f>
        <v>754.28159349667715</v>
      </c>
      <c r="E353" s="27">
        <f t="shared" ref="E353:F355" si="81">E237</f>
        <v>684.5212336142381</v>
      </c>
      <c r="F353" s="27">
        <f t="shared" si="81"/>
        <v>69.760359882439062</v>
      </c>
      <c r="G353" s="28"/>
    </row>
    <row r="354" spans="2:7">
      <c r="B354" s="24" t="s">
        <v>32</v>
      </c>
      <c r="C354" s="36" t="s">
        <v>33</v>
      </c>
      <c r="D354" s="105">
        <f>SUM(E354:F354)</f>
        <v>444.86212696656065</v>
      </c>
      <c r="E354" s="27">
        <f t="shared" si="81"/>
        <v>403.71868353267115</v>
      </c>
      <c r="F354" s="27">
        <f t="shared" si="81"/>
        <v>41.143443433889502</v>
      </c>
      <c r="G354" s="28"/>
    </row>
    <row r="355" spans="2:7">
      <c r="B355" s="24" t="s">
        <v>34</v>
      </c>
      <c r="C355" s="30" t="s">
        <v>35</v>
      </c>
      <c r="D355" s="105">
        <f>SUM(E355:F355)</f>
        <v>657.54417550633787</v>
      </c>
      <c r="E355" s="27">
        <f t="shared" si="81"/>
        <v>596.73065610269111</v>
      </c>
      <c r="F355" s="27">
        <f t="shared" si="81"/>
        <v>60.813519403646801</v>
      </c>
      <c r="G355" s="28"/>
    </row>
    <row r="356" spans="2:7">
      <c r="B356" s="22" t="s">
        <v>36</v>
      </c>
      <c r="C356" s="33" t="s">
        <v>37</v>
      </c>
      <c r="D356" s="20">
        <f t="shared" ref="D356" si="82">SUM(D357:D359)</f>
        <v>521.59342355747492</v>
      </c>
      <c r="E356" s="20">
        <f>SUM(E357:E359)</f>
        <v>473.35342240485073</v>
      </c>
      <c r="F356" s="20">
        <f>SUM(F357:F359)</f>
        <v>48.240001152624195</v>
      </c>
      <c r="G356" s="21"/>
    </row>
    <row r="357" spans="2:7">
      <c r="B357" s="24" t="s">
        <v>38</v>
      </c>
      <c r="C357" s="37" t="s">
        <v>27</v>
      </c>
      <c r="D357" s="105">
        <f>SUM(E357:F357)</f>
        <v>366.07366423219912</v>
      </c>
      <c r="E357" s="27">
        <f t="shared" ref="E357:F359" si="83">E241</f>
        <v>332.21703723705309</v>
      </c>
      <c r="F357" s="27">
        <f t="shared" si="83"/>
        <v>33.856626995146037</v>
      </c>
      <c r="G357" s="28"/>
    </row>
    <row r="358" spans="2:7">
      <c r="B358" s="24" t="s">
        <v>39</v>
      </c>
      <c r="C358" s="36" t="s">
        <v>31</v>
      </c>
      <c r="D358" s="105">
        <f>SUM(E358:F358)</f>
        <v>79.465668418789079</v>
      </c>
      <c r="E358" s="27">
        <f t="shared" si="83"/>
        <v>72.116220049653293</v>
      </c>
      <c r="F358" s="27">
        <f t="shared" si="83"/>
        <v>7.3494483691357892</v>
      </c>
      <c r="G358" s="28"/>
    </row>
    <row r="359" spans="2:7">
      <c r="B359" s="24" t="s">
        <v>40</v>
      </c>
      <c r="C359" s="30" t="s">
        <v>41</v>
      </c>
      <c r="D359" s="105">
        <f>SUM(E359:F359)</f>
        <v>76.054090906486721</v>
      </c>
      <c r="E359" s="27">
        <f t="shared" si="83"/>
        <v>69.020165118144362</v>
      </c>
      <c r="F359" s="27">
        <f t="shared" si="83"/>
        <v>7.0339257883423647</v>
      </c>
      <c r="G359" s="28"/>
    </row>
    <row r="360" spans="2:7">
      <c r="B360" s="22" t="s">
        <v>42</v>
      </c>
      <c r="C360" s="33" t="s">
        <v>43</v>
      </c>
      <c r="D360" s="20">
        <f t="shared" ref="D360" si="84">SUM(D361:D363)</f>
        <v>1286.2685786670195</v>
      </c>
      <c r="E360" s="20">
        <f>SUM(E361:E363)</f>
        <v>1167.3069604505197</v>
      </c>
      <c r="F360" s="20">
        <f>SUM(F361:F363)</f>
        <v>118.9616182164996</v>
      </c>
      <c r="G360" s="21"/>
    </row>
    <row r="361" spans="2:7">
      <c r="B361" s="24" t="s">
        <v>44</v>
      </c>
      <c r="C361" s="37" t="s">
        <v>27</v>
      </c>
      <c r="D361" s="105">
        <f>SUM(E361:F361)</f>
        <v>976.42952025018928</v>
      </c>
      <c r="E361" s="27">
        <f t="shared" ref="E361:F363" si="85">E245</f>
        <v>886.12362478650709</v>
      </c>
      <c r="F361" s="27">
        <f t="shared" si="85"/>
        <v>90.305895463682162</v>
      </c>
      <c r="G361" s="28"/>
    </row>
    <row r="362" spans="2:7">
      <c r="B362" s="24" t="s">
        <v>45</v>
      </c>
      <c r="C362" s="36" t="s">
        <v>31</v>
      </c>
      <c r="D362" s="105">
        <f>SUM(E362:F362)</f>
        <v>207.37837060707406</v>
      </c>
      <c r="E362" s="27">
        <f t="shared" si="85"/>
        <v>188.19880969757529</v>
      </c>
      <c r="F362" s="27">
        <f t="shared" si="85"/>
        <v>19.179560909498768</v>
      </c>
      <c r="G362" s="28"/>
    </row>
    <row r="363" spans="2:7">
      <c r="B363" s="24" t="s">
        <v>46</v>
      </c>
      <c r="C363" s="30" t="s">
        <v>41</v>
      </c>
      <c r="D363" s="105">
        <f>SUM(E363:F363)</f>
        <v>102.460687809756</v>
      </c>
      <c r="E363" s="27">
        <f t="shared" si="85"/>
        <v>92.984525966437332</v>
      </c>
      <c r="F363" s="27">
        <f t="shared" si="85"/>
        <v>9.4761618433186694</v>
      </c>
      <c r="G363" s="28"/>
    </row>
    <row r="364" spans="2:7">
      <c r="B364" s="44">
        <v>3</v>
      </c>
      <c r="C364" s="40" t="s">
        <v>99</v>
      </c>
      <c r="D364" s="20">
        <f>SUM(D365:D367)</f>
        <v>118.24569434863183</v>
      </c>
      <c r="E364" s="20">
        <f>SUM(E365:E367)</f>
        <v>107.30964306031971</v>
      </c>
      <c r="F364" s="20">
        <f>SUM(F365:F367)</f>
        <v>10.936051288312111</v>
      </c>
      <c r="G364" s="21"/>
    </row>
    <row r="365" spans="2:7">
      <c r="B365" s="38" t="s">
        <v>100</v>
      </c>
      <c r="C365" s="39" t="s">
        <v>101</v>
      </c>
      <c r="D365" s="105">
        <f>SUM(E365:F365)</f>
        <v>91.872874739144777</v>
      </c>
      <c r="E365" s="27">
        <f t="shared" ref="E365:F372" si="86">E249</f>
        <v>83.375935584729078</v>
      </c>
      <c r="F365" s="27">
        <f t="shared" si="86"/>
        <v>8.4969391544157027</v>
      </c>
      <c r="G365" s="28"/>
    </row>
    <row r="366" spans="2:7">
      <c r="B366" s="38" t="s">
        <v>102</v>
      </c>
      <c r="C366" s="39" t="s">
        <v>103</v>
      </c>
      <c r="D366" s="105">
        <f>SUM(E366:F366)</f>
        <v>20.212032442611861</v>
      </c>
      <c r="E366" s="27">
        <f t="shared" si="86"/>
        <v>18.342705828640405</v>
      </c>
      <c r="F366" s="27">
        <f t="shared" si="86"/>
        <v>1.8693266139714553</v>
      </c>
      <c r="G366" s="28"/>
    </row>
    <row r="367" spans="2:7">
      <c r="B367" s="38" t="s">
        <v>104</v>
      </c>
      <c r="C367" s="96" t="s">
        <v>105</v>
      </c>
      <c r="D367" s="105">
        <f>SUM(E367:F367)</f>
        <v>6.1607871668751901</v>
      </c>
      <c r="E367" s="27">
        <f t="shared" si="86"/>
        <v>5.5910016469502386</v>
      </c>
      <c r="F367" s="27">
        <f t="shared" si="86"/>
        <v>0.56978551992495197</v>
      </c>
      <c r="G367" s="28"/>
    </row>
    <row r="368" spans="2:7">
      <c r="B368" s="38">
        <v>4</v>
      </c>
      <c r="C368" s="39" t="s">
        <v>106</v>
      </c>
      <c r="D368" s="105">
        <f>SUM(E368:F368)</f>
        <v>0</v>
      </c>
      <c r="E368" s="27">
        <f t="shared" si="86"/>
        <v>0</v>
      </c>
      <c r="F368" s="27">
        <f t="shared" si="86"/>
        <v>0</v>
      </c>
      <c r="G368" s="28"/>
    </row>
    <row r="369" spans="2:7">
      <c r="B369" s="22" t="s">
        <v>51</v>
      </c>
      <c r="C369" s="35" t="s">
        <v>50</v>
      </c>
      <c r="D369" s="104">
        <f>SUM(E369:F369)</f>
        <v>0</v>
      </c>
      <c r="E369" s="20">
        <f t="shared" si="86"/>
        <v>0</v>
      </c>
      <c r="F369" s="20">
        <f t="shared" si="86"/>
        <v>0</v>
      </c>
      <c r="G369" s="21"/>
    </row>
    <row r="370" spans="2:7">
      <c r="B370" s="44" t="s">
        <v>53</v>
      </c>
      <c r="C370" s="40" t="s">
        <v>52</v>
      </c>
      <c r="D370" s="49">
        <f>D161+D211+D319</f>
        <v>0</v>
      </c>
      <c r="E370" s="20">
        <f t="shared" si="86"/>
        <v>0</v>
      </c>
      <c r="F370" s="20">
        <f t="shared" si="86"/>
        <v>0</v>
      </c>
      <c r="G370" s="21"/>
    </row>
    <row r="371" spans="2:7">
      <c r="B371" s="44" t="s">
        <v>55</v>
      </c>
      <c r="C371" s="40" t="s">
        <v>54</v>
      </c>
      <c r="D371" s="49">
        <f>D255</f>
        <v>-291.64308319003175</v>
      </c>
      <c r="E371" s="49">
        <f t="shared" si="86"/>
        <v>-264.67458019999992</v>
      </c>
      <c r="F371" s="49">
        <f t="shared" si="86"/>
        <v>-26.968502990031816</v>
      </c>
      <c r="G371" s="118"/>
    </row>
    <row r="372" spans="2:7" ht="26.25" customHeight="1">
      <c r="B372" s="44" t="s">
        <v>57</v>
      </c>
      <c r="C372" s="41" t="s">
        <v>56</v>
      </c>
      <c r="D372" s="49">
        <f>D256</f>
        <v>2358.2570000000001</v>
      </c>
      <c r="E372" s="49">
        <f t="shared" si="86"/>
        <v>2175.2809999999999</v>
      </c>
      <c r="F372" s="49">
        <f t="shared" si="86"/>
        <v>182.976</v>
      </c>
      <c r="G372" s="118"/>
    </row>
    <row r="373" spans="2:7" ht="21">
      <c r="B373" s="44" t="s">
        <v>65</v>
      </c>
      <c r="C373" s="41" t="s">
        <v>78</v>
      </c>
      <c r="D373" s="72">
        <f t="shared" ref="D373" si="87">SUM(D374:D376)</f>
        <v>1885.2914095472038</v>
      </c>
      <c r="E373" s="72">
        <f>SUM(E374:E376)</f>
        <v>1710.928667108278</v>
      </c>
      <c r="F373" s="72">
        <f>SUM(F374:F376)</f>
        <v>174.36274243892584</v>
      </c>
      <c r="G373" s="73"/>
    </row>
    <row r="374" spans="2:7">
      <c r="B374" s="38" t="s">
        <v>79</v>
      </c>
      <c r="C374" s="39" t="s">
        <v>60</v>
      </c>
      <c r="D374" s="105">
        <f>SUM(E374:F374)</f>
        <v>339.35245371849669</v>
      </c>
      <c r="E374" s="27">
        <f t="shared" ref="E374:F376" si="88">E258</f>
        <v>307.96716007949004</v>
      </c>
      <c r="F374" s="27">
        <f t="shared" si="88"/>
        <v>31.385293639006647</v>
      </c>
      <c r="G374" s="28"/>
    </row>
    <row r="375" spans="2:7" ht="22.5">
      <c r="B375" s="38" t="s">
        <v>80</v>
      </c>
      <c r="C375" s="39" t="s">
        <v>62</v>
      </c>
      <c r="D375" s="105">
        <f>SUM(E375:F375)</f>
        <v>0</v>
      </c>
      <c r="E375" s="27">
        <f t="shared" si="88"/>
        <v>0</v>
      </c>
      <c r="F375" s="27">
        <f t="shared" si="88"/>
        <v>0</v>
      </c>
      <c r="G375" s="28"/>
    </row>
    <row r="376" spans="2:7" ht="22.5">
      <c r="B376" s="38" t="s">
        <v>81</v>
      </c>
      <c r="C376" s="39" t="s">
        <v>137</v>
      </c>
      <c r="D376" s="105">
        <f>SUM(E376:F376)</f>
        <v>1545.9389558287071</v>
      </c>
      <c r="E376" s="27">
        <f t="shared" si="88"/>
        <v>1402.961507028788</v>
      </c>
      <c r="F376" s="27">
        <f t="shared" si="88"/>
        <v>142.97744879991919</v>
      </c>
      <c r="G376" s="28"/>
    </row>
    <row r="377" spans="2:7">
      <c r="B377" s="22" t="s">
        <v>67</v>
      </c>
      <c r="C377" s="35" t="s">
        <v>121</v>
      </c>
      <c r="D377" s="86">
        <f>D345+D360+D364+D368+D369+D370+D371+D372+D373</f>
        <v>51084.190565037265</v>
      </c>
      <c r="E377" s="86">
        <f t="shared" ref="E377:F377" si="89">E345+E360+E364+E368+E369+E370+E371+E372+E373</f>
        <v>46394.751764615226</v>
      </c>
      <c r="F377" s="86">
        <f t="shared" si="89"/>
        <v>4689.4388004220409</v>
      </c>
      <c r="G377" s="108"/>
    </row>
    <row r="378" spans="2:7">
      <c r="B378" s="22" t="s">
        <v>82</v>
      </c>
      <c r="C378" s="45" t="s">
        <v>66</v>
      </c>
      <c r="D378" s="46">
        <f>(D377)*0.2</f>
        <v>10216.838113007454</v>
      </c>
      <c r="E378" s="46">
        <f t="shared" ref="E378:F378" si="90">(E377)*0.2</f>
        <v>9278.950352923046</v>
      </c>
      <c r="F378" s="46">
        <f t="shared" si="90"/>
        <v>937.88776008440823</v>
      </c>
      <c r="G378" s="47"/>
    </row>
    <row r="379" spans="2:7" ht="21.75">
      <c r="B379" s="110">
        <v>12</v>
      </c>
      <c r="C379" s="35" t="s">
        <v>122</v>
      </c>
      <c r="D379" s="104">
        <f>SUM(D377:D378)</f>
        <v>61301.02867804472</v>
      </c>
      <c r="E379" s="104">
        <f>SUM(E377:E378)</f>
        <v>55673.702117538269</v>
      </c>
      <c r="F379" s="104">
        <f>SUM(F377:F378)</f>
        <v>5627.3265605064489</v>
      </c>
      <c r="G379" s="109"/>
    </row>
    <row r="380" spans="2:7" ht="21">
      <c r="B380" s="110">
        <v>13</v>
      </c>
      <c r="C380" s="66" t="s">
        <v>83</v>
      </c>
      <c r="D380" s="104">
        <f>SUM(E380:F380)</f>
        <v>13397.608999999997</v>
      </c>
      <c r="E380" s="20">
        <f t="shared" ref="E380:F380" si="91">E264</f>
        <v>12158.519999999997</v>
      </c>
      <c r="F380" s="20">
        <f t="shared" si="91"/>
        <v>1239.0890000000002</v>
      </c>
      <c r="G380" s="21"/>
    </row>
    <row r="381" spans="2:7">
      <c r="E381" s="114"/>
      <c r="F381" s="114"/>
      <c r="G381" s="114"/>
    </row>
    <row r="382" spans="2:7">
      <c r="E382" s="119"/>
      <c r="F382" s="119"/>
      <c r="G382" s="119"/>
    </row>
    <row r="383" spans="2:7">
      <c r="F383" s="4"/>
      <c r="G383" s="4"/>
    </row>
    <row r="384" spans="2:7">
      <c r="F384" s="4"/>
      <c r="G384" s="4"/>
    </row>
    <row r="385" spans="2:7" ht="14.25">
      <c r="B385" s="52" t="s">
        <v>69</v>
      </c>
      <c r="D385" s="52"/>
      <c r="F385" s="53" t="s">
        <v>70</v>
      </c>
      <c r="G385" s="53"/>
    </row>
    <row r="386" spans="2:7">
      <c r="F386" s="4"/>
      <c r="G386" s="4"/>
    </row>
    <row r="387" spans="2:7">
      <c r="E387" s="2"/>
      <c r="F387" s="2" t="s">
        <v>138</v>
      </c>
      <c r="G387" s="4"/>
    </row>
    <row r="388" spans="2:7">
      <c r="B388" s="3"/>
      <c r="C388" s="3"/>
      <c r="D388" s="3"/>
      <c r="G388" s="3"/>
    </row>
    <row r="389" spans="2:7">
      <c r="B389" s="3"/>
      <c r="C389" s="3"/>
      <c r="D389" s="3"/>
      <c r="E389" s="2" t="s">
        <v>1</v>
      </c>
      <c r="F389" s="2"/>
      <c r="G389" s="3"/>
    </row>
    <row r="390" spans="2:7">
      <c r="B390" s="3"/>
      <c r="C390" s="3"/>
      <c r="D390" s="3"/>
      <c r="E390" s="2" t="s">
        <v>2</v>
      </c>
      <c r="F390" s="2"/>
      <c r="G390" s="2"/>
    </row>
    <row r="391" spans="2:7">
      <c r="B391" s="3"/>
      <c r="C391" s="2"/>
      <c r="D391" s="2"/>
      <c r="E391" s="2" t="s">
        <v>163</v>
      </c>
      <c r="F391" s="3"/>
      <c r="G391" s="3"/>
    </row>
    <row r="392" spans="2:7" ht="15" customHeight="1">
      <c r="B392" s="3"/>
      <c r="C392" s="3"/>
      <c r="D392" s="3"/>
      <c r="F392" s="4"/>
      <c r="G392" s="4"/>
    </row>
    <row r="393" spans="2:7" ht="48" customHeight="1">
      <c r="B393" s="148" t="s">
        <v>139</v>
      </c>
      <c r="C393" s="148"/>
      <c r="D393" s="148"/>
      <c r="E393" s="148"/>
      <c r="F393" s="148"/>
      <c r="G393" s="120"/>
    </row>
    <row r="394" spans="2:7">
      <c r="B394" s="3"/>
      <c r="C394" s="3"/>
      <c r="D394" s="3"/>
      <c r="E394" s="3"/>
      <c r="F394" s="4"/>
      <c r="G394" s="4"/>
    </row>
    <row r="395" spans="2:7" ht="12.75" customHeight="1">
      <c r="B395" s="3"/>
      <c r="C395" s="3"/>
      <c r="D395" s="3"/>
      <c r="E395" s="3"/>
      <c r="F395" s="4"/>
      <c r="G395" s="4"/>
    </row>
    <row r="396" spans="2:7" ht="18" customHeight="1">
      <c r="B396" s="149" t="s">
        <v>4</v>
      </c>
      <c r="C396" s="150" t="s">
        <v>5</v>
      </c>
      <c r="D396" s="152" t="s">
        <v>6</v>
      </c>
      <c r="E396" s="153" t="s">
        <v>109</v>
      </c>
      <c r="F396" s="154"/>
      <c r="G396" s="54"/>
    </row>
    <row r="397" spans="2:7" ht="61.5" customHeight="1">
      <c r="B397" s="149"/>
      <c r="C397" s="151"/>
      <c r="D397" s="152"/>
      <c r="E397" s="115" t="s">
        <v>133</v>
      </c>
      <c r="F397" s="115" t="s">
        <v>134</v>
      </c>
      <c r="G397" s="116"/>
    </row>
    <row r="398" spans="2:7">
      <c r="B398" s="11">
        <v>1</v>
      </c>
      <c r="C398" s="11">
        <v>2</v>
      </c>
      <c r="D398" s="11">
        <v>3</v>
      </c>
      <c r="E398" s="11">
        <v>4</v>
      </c>
      <c r="F398" s="11">
        <v>5</v>
      </c>
      <c r="G398" s="12"/>
    </row>
    <row r="399" spans="2:7" ht="32.25">
      <c r="B399" s="11">
        <v>1</v>
      </c>
      <c r="C399" s="117" t="s">
        <v>140</v>
      </c>
      <c r="D399" s="13" t="s">
        <v>112</v>
      </c>
      <c r="E399" s="98">
        <f>E283</f>
        <v>4609.9861853221346</v>
      </c>
      <c r="F399" s="98">
        <f>F283</f>
        <v>4572.4876465230309</v>
      </c>
      <c r="G399" s="99"/>
    </row>
    <row r="400" spans="2:7">
      <c r="B400" s="146" t="s">
        <v>136</v>
      </c>
      <c r="C400" s="147"/>
      <c r="D400" s="147"/>
      <c r="E400" s="147"/>
      <c r="F400" s="147"/>
      <c r="G400" s="16"/>
    </row>
    <row r="401" spans="2:7">
      <c r="B401" s="18">
        <v>1</v>
      </c>
      <c r="C401" s="19" t="s">
        <v>15</v>
      </c>
      <c r="D401" s="20">
        <f t="shared" ref="D401" si="92">D402+D407+D408+D412</f>
        <v>11083.731030383884</v>
      </c>
      <c r="E401" s="20">
        <f>E402+E407+E408+E412</f>
        <v>9724.1417175271126</v>
      </c>
      <c r="F401" s="20">
        <f>F402+F407+F408+F412</f>
        <v>1359.5893128567743</v>
      </c>
      <c r="G401" s="21"/>
    </row>
    <row r="402" spans="2:7">
      <c r="B402" s="22" t="s">
        <v>16</v>
      </c>
      <c r="C402" s="23" t="s">
        <v>17</v>
      </c>
      <c r="D402" s="20">
        <f t="shared" ref="D402" si="93">SUM(D403:D406)</f>
        <v>9632.2699558439799</v>
      </c>
      <c r="E402" s="20">
        <f>SUM(E403:E406)</f>
        <v>8450.7245669657295</v>
      </c>
      <c r="F402" s="20">
        <f>SUM(F403:F406)</f>
        <v>1181.5453888782513</v>
      </c>
      <c r="G402" s="21"/>
    </row>
    <row r="403" spans="2:7">
      <c r="B403" s="24" t="s">
        <v>18</v>
      </c>
      <c r="C403" s="25" t="s">
        <v>19</v>
      </c>
      <c r="D403" s="26">
        <f>SUM(E403:F403)</f>
        <v>9087.1651919098585</v>
      </c>
      <c r="E403" s="27">
        <f t="shared" ref="E403:F406" si="94">E290</f>
        <v>7972.4852483767272</v>
      </c>
      <c r="F403" s="27">
        <f t="shared" si="94"/>
        <v>1114.6799435331311</v>
      </c>
      <c r="G403" s="28"/>
    </row>
    <row r="404" spans="2:7">
      <c r="B404" s="24" t="s">
        <v>20</v>
      </c>
      <c r="C404" s="29" t="s">
        <v>120</v>
      </c>
      <c r="D404" s="26">
        <f>SUM(E404:F404)</f>
        <v>464.09773347488783</v>
      </c>
      <c r="E404" s="27">
        <f t="shared" si="94"/>
        <v>407.16904070674013</v>
      </c>
      <c r="F404" s="27">
        <f t="shared" si="94"/>
        <v>56.928692768147712</v>
      </c>
      <c r="G404" s="28"/>
    </row>
    <row r="405" spans="2:7" ht="22.5">
      <c r="B405" s="24" t="s">
        <v>22</v>
      </c>
      <c r="C405" s="30" t="s">
        <v>23</v>
      </c>
      <c r="D405" s="26">
        <f>SUM(E405:F405)</f>
        <v>17.488051490052488</v>
      </c>
      <c r="E405" s="27">
        <f t="shared" si="94"/>
        <v>15.342874216859414</v>
      </c>
      <c r="F405" s="27">
        <f t="shared" si="94"/>
        <v>2.1451772731930738</v>
      </c>
      <c r="G405" s="28"/>
    </row>
    <row r="406" spans="2:7" ht="22.5">
      <c r="B406" s="24" t="s">
        <v>24</v>
      </c>
      <c r="C406" s="30" t="s">
        <v>25</v>
      </c>
      <c r="D406" s="26">
        <f>SUM(E406:F406)</f>
        <v>63.518978969180438</v>
      </c>
      <c r="E406" s="27">
        <f t="shared" si="94"/>
        <v>55.727403665401084</v>
      </c>
      <c r="F406" s="27">
        <f t="shared" si="94"/>
        <v>7.7915753037793545</v>
      </c>
      <c r="G406" s="28"/>
    </row>
    <row r="407" spans="2:7">
      <c r="B407" s="22" t="s">
        <v>26</v>
      </c>
      <c r="C407" s="33" t="s">
        <v>27</v>
      </c>
      <c r="D407" s="26">
        <f>SUM(E407:F407)</f>
        <v>875.0010830826925</v>
      </c>
      <c r="E407" s="20">
        <f>E294</f>
        <v>767.668803181984</v>
      </c>
      <c r="F407" s="20">
        <f>F294</f>
        <v>107.33227990070853</v>
      </c>
      <c r="G407" s="21"/>
    </row>
    <row r="408" spans="2:7">
      <c r="B408" s="22" t="s">
        <v>28</v>
      </c>
      <c r="C408" s="35" t="s">
        <v>29</v>
      </c>
      <c r="D408" s="20">
        <f t="shared" ref="D408" si="95">SUM(D409:D411)</f>
        <v>450.03350943452506</v>
      </c>
      <c r="E408" s="20">
        <f>SUM(E409:E411)</f>
        <v>394.83000908096074</v>
      </c>
      <c r="F408" s="20">
        <f>SUM(F409:F411)</f>
        <v>55.203500353564351</v>
      </c>
      <c r="G408" s="21"/>
    </row>
    <row r="409" spans="2:7">
      <c r="B409" s="24" t="s">
        <v>30</v>
      </c>
      <c r="C409" s="36" t="s">
        <v>31</v>
      </c>
      <c r="D409" s="26">
        <f>SUM(E409:F409)</f>
        <v>182.82663088397592</v>
      </c>
      <c r="E409" s="27">
        <f t="shared" ref="E409:F411" si="96">E296</f>
        <v>160.40014536442837</v>
      </c>
      <c r="F409" s="27">
        <f t="shared" si="96"/>
        <v>22.426485519547548</v>
      </c>
      <c r="G409" s="28"/>
    </row>
    <row r="410" spans="2:7">
      <c r="B410" s="24" t="s">
        <v>32</v>
      </c>
      <c r="C410" s="36" t="s">
        <v>33</v>
      </c>
      <c r="D410" s="26">
        <f>SUM(E410:F410)</f>
        <v>107.82795786403358</v>
      </c>
      <c r="E410" s="27">
        <f t="shared" si="96"/>
        <v>94.601207888124691</v>
      </c>
      <c r="F410" s="27">
        <f t="shared" si="96"/>
        <v>13.226749975908893</v>
      </c>
      <c r="G410" s="28"/>
    </row>
    <row r="411" spans="2:7">
      <c r="B411" s="24" t="s">
        <v>34</v>
      </c>
      <c r="C411" s="30" t="s">
        <v>35</v>
      </c>
      <c r="D411" s="26">
        <f>SUM(E411:F411)</f>
        <v>159.37892068651558</v>
      </c>
      <c r="E411" s="27">
        <f t="shared" si="96"/>
        <v>139.82865582840768</v>
      </c>
      <c r="F411" s="27">
        <f t="shared" si="96"/>
        <v>19.550264858107905</v>
      </c>
      <c r="G411" s="28"/>
    </row>
    <row r="412" spans="2:7">
      <c r="B412" s="22" t="s">
        <v>36</v>
      </c>
      <c r="C412" s="33" t="s">
        <v>37</v>
      </c>
      <c r="D412" s="20">
        <f t="shared" ref="D412" si="97">SUM(D413:D415)</f>
        <v>126.42648202268754</v>
      </c>
      <c r="E412" s="20">
        <f>SUM(E413:E415)</f>
        <v>110.91833829843733</v>
      </c>
      <c r="F412" s="20">
        <f>SUM(F413:F415)</f>
        <v>15.508143724250209</v>
      </c>
      <c r="G412" s="21"/>
    </row>
    <row r="413" spans="2:7">
      <c r="B413" s="24" t="s">
        <v>38</v>
      </c>
      <c r="C413" s="37" t="s">
        <v>27</v>
      </c>
      <c r="D413" s="26">
        <f>SUM(E413:F413)</f>
        <v>88.730807252848109</v>
      </c>
      <c r="E413" s="27">
        <f t="shared" ref="E413:F415" si="98">E300</f>
        <v>77.846615194107002</v>
      </c>
      <c r="F413" s="27">
        <f t="shared" si="98"/>
        <v>10.88419205874111</v>
      </c>
      <c r="G413" s="28"/>
    </row>
    <row r="414" spans="2:7">
      <c r="B414" s="24" t="s">
        <v>39</v>
      </c>
      <c r="C414" s="36" t="s">
        <v>31</v>
      </c>
      <c r="D414" s="26">
        <f>SUM(E414:F414)</f>
        <v>19.261295188975566</v>
      </c>
      <c r="E414" s="27">
        <f t="shared" si="98"/>
        <v>16.898602426139387</v>
      </c>
      <c r="F414" s="27">
        <f t="shared" si="98"/>
        <v>2.3626927628361796</v>
      </c>
      <c r="G414" s="28"/>
    </row>
    <row r="415" spans="2:7">
      <c r="B415" s="24" t="s">
        <v>40</v>
      </c>
      <c r="C415" s="30" t="s">
        <v>41</v>
      </c>
      <c r="D415" s="26">
        <f>SUM(E415:F415)</f>
        <v>18.434379580863858</v>
      </c>
      <c r="E415" s="27">
        <f t="shared" si="98"/>
        <v>16.173120678190937</v>
      </c>
      <c r="F415" s="27">
        <f t="shared" si="98"/>
        <v>2.2612589026729197</v>
      </c>
      <c r="G415" s="28"/>
    </row>
    <row r="416" spans="2:7">
      <c r="B416" s="22" t="s">
        <v>42</v>
      </c>
      <c r="C416" s="33" t="s">
        <v>43</v>
      </c>
      <c r="D416" s="20">
        <f t="shared" ref="D416" si="99">SUM(D417:D419)</f>
        <v>311.77235753486201</v>
      </c>
      <c r="E416" s="20">
        <f>SUM(E417:E419)</f>
        <v>273.52870436549432</v>
      </c>
      <c r="F416" s="20">
        <f>SUM(F417:F419)</f>
        <v>38.243653169367697</v>
      </c>
      <c r="G416" s="21"/>
    </row>
    <row r="417" spans="2:7">
      <c r="B417" s="24" t="s">
        <v>44</v>
      </c>
      <c r="C417" s="37" t="s">
        <v>27</v>
      </c>
      <c r="D417" s="26">
        <f>SUM(E417:F417)</f>
        <v>236.67198168714884</v>
      </c>
      <c r="E417" s="27">
        <f t="shared" ref="E417:F419" si="100">E304</f>
        <v>207.64053947040847</v>
      </c>
      <c r="F417" s="27">
        <f t="shared" si="100"/>
        <v>29.031442216740366</v>
      </c>
      <c r="G417" s="28"/>
    </row>
    <row r="418" spans="2:7">
      <c r="B418" s="24" t="s">
        <v>45</v>
      </c>
      <c r="C418" s="36" t="s">
        <v>31</v>
      </c>
      <c r="D418" s="26">
        <f>SUM(E418:F418)</f>
        <v>50.265430236124288</v>
      </c>
      <c r="E418" s="27">
        <f t="shared" si="100"/>
        <v>44.09960560831253</v>
      </c>
      <c r="F418" s="27">
        <f t="shared" si="100"/>
        <v>6.1658246278117605</v>
      </c>
      <c r="G418" s="28"/>
    </row>
    <row r="419" spans="2:7">
      <c r="B419" s="24" t="s">
        <v>46</v>
      </c>
      <c r="C419" s="30" t="s">
        <v>41</v>
      </c>
      <c r="D419" s="26">
        <f>SUM(E419:F419)</f>
        <v>24.834945611588854</v>
      </c>
      <c r="E419" s="27">
        <f t="shared" si="100"/>
        <v>21.788559286773282</v>
      </c>
      <c r="F419" s="27">
        <f t="shared" si="100"/>
        <v>3.0463863248155709</v>
      </c>
      <c r="G419" s="28"/>
    </row>
    <row r="420" spans="2:7">
      <c r="B420" s="44">
        <v>3</v>
      </c>
      <c r="C420" s="40" t="s">
        <v>99</v>
      </c>
      <c r="D420" s="20">
        <f>SUM(D421:D423)</f>
        <v>28.660996238922518</v>
      </c>
      <c r="E420" s="20">
        <f>SUM(E421:E423)</f>
        <v>25.145286224357353</v>
      </c>
      <c r="F420" s="20">
        <f>SUM(F421:F423)</f>
        <v>3.5157100145651627</v>
      </c>
      <c r="G420" s="21"/>
    </row>
    <row r="421" spans="2:7">
      <c r="B421" s="38" t="s">
        <v>100</v>
      </c>
      <c r="C421" s="39" t="s">
        <v>101</v>
      </c>
      <c r="D421" s="26">
        <f t="shared" ref="D421:D427" si="101">SUM(E421:F421)</f>
        <v>22.268617321439876</v>
      </c>
      <c r="E421" s="27">
        <f t="shared" ref="E421:F424" si="102">E308</f>
        <v>19.537030454226056</v>
      </c>
      <c r="F421" s="27">
        <f t="shared" si="102"/>
        <v>2.7315868672138195</v>
      </c>
      <c r="G421" s="28"/>
    </row>
    <row r="422" spans="2:7">
      <c r="B422" s="38" t="s">
        <v>102</v>
      </c>
      <c r="C422" s="39" t="s">
        <v>103</v>
      </c>
      <c r="D422" s="26">
        <f t="shared" si="101"/>
        <v>4.8990958107167755</v>
      </c>
      <c r="E422" s="27">
        <f t="shared" si="102"/>
        <v>4.2981466999297346</v>
      </c>
      <c r="F422" s="27">
        <f t="shared" si="102"/>
        <v>0.6009491107870405</v>
      </c>
      <c r="G422" s="28"/>
    </row>
    <row r="423" spans="2:7">
      <c r="B423" s="38" t="s">
        <v>104</v>
      </c>
      <c r="C423" s="96" t="s">
        <v>105</v>
      </c>
      <c r="D423" s="26">
        <f t="shared" si="101"/>
        <v>1.4932831067658661</v>
      </c>
      <c r="E423" s="27">
        <f t="shared" si="102"/>
        <v>1.3101090702015634</v>
      </c>
      <c r="F423" s="27">
        <f t="shared" si="102"/>
        <v>0.18317403656430267</v>
      </c>
      <c r="G423" s="28"/>
    </row>
    <row r="424" spans="2:7">
      <c r="B424" s="38">
        <v>4</v>
      </c>
      <c r="C424" s="39" t="s">
        <v>106</v>
      </c>
      <c r="D424" s="26">
        <f t="shared" si="101"/>
        <v>0</v>
      </c>
      <c r="E424" s="27">
        <f t="shared" si="102"/>
        <v>0</v>
      </c>
      <c r="F424" s="27">
        <f t="shared" si="102"/>
        <v>0</v>
      </c>
      <c r="G424" s="28"/>
    </row>
    <row r="425" spans="2:7">
      <c r="B425" s="44" t="s">
        <v>51</v>
      </c>
      <c r="C425" s="63" t="s">
        <v>126</v>
      </c>
      <c r="D425" s="34">
        <f t="shared" si="101"/>
        <v>80.635647491033353</v>
      </c>
      <c r="E425" s="20">
        <f>E312/$E$324*$E$437</f>
        <v>70.74445072132086</v>
      </c>
      <c r="F425" s="20">
        <f>F312/$F$324*$F$437</f>
        <v>9.8911967697124918</v>
      </c>
      <c r="G425" s="21"/>
    </row>
    <row r="426" spans="2:7">
      <c r="B426" s="22" t="s">
        <v>53</v>
      </c>
      <c r="C426" s="35" t="s">
        <v>50</v>
      </c>
      <c r="D426" s="34">
        <f t="shared" si="101"/>
        <v>0</v>
      </c>
      <c r="E426" s="20">
        <f t="shared" ref="E426:F427" si="103">E313</f>
        <v>0</v>
      </c>
      <c r="F426" s="20">
        <f t="shared" si="103"/>
        <v>0</v>
      </c>
      <c r="G426" s="21"/>
    </row>
    <row r="427" spans="2:7">
      <c r="B427" s="44" t="s">
        <v>55</v>
      </c>
      <c r="C427" s="40" t="s">
        <v>52</v>
      </c>
      <c r="D427" s="34">
        <f t="shared" si="101"/>
        <v>0</v>
      </c>
      <c r="E427" s="20">
        <f t="shared" si="103"/>
        <v>0</v>
      </c>
      <c r="F427" s="20">
        <f t="shared" si="103"/>
        <v>0</v>
      </c>
      <c r="G427" s="21"/>
    </row>
    <row r="428" spans="2:7">
      <c r="B428" s="44" t="s">
        <v>57</v>
      </c>
      <c r="C428" s="40" t="s">
        <v>54</v>
      </c>
      <c r="D428" s="34">
        <f t="shared" ref="D428:F429" si="104">D315</f>
        <v>-70.713189414810273</v>
      </c>
      <c r="E428" s="34">
        <f t="shared" si="104"/>
        <v>-62.045110399999984</v>
      </c>
      <c r="F428" s="34">
        <f t="shared" si="104"/>
        <v>-8.6680790148102851</v>
      </c>
      <c r="G428" s="121"/>
    </row>
    <row r="429" spans="2:7" ht="25.5" customHeight="1">
      <c r="B429" s="44" t="s">
        <v>65</v>
      </c>
      <c r="C429" s="41" t="s">
        <v>56</v>
      </c>
      <c r="D429" s="34">
        <f t="shared" si="104"/>
        <v>568.54499999999996</v>
      </c>
      <c r="E429" s="34">
        <f t="shared" si="104"/>
        <v>509.72199999999998</v>
      </c>
      <c r="F429" s="34">
        <f t="shared" si="104"/>
        <v>58.823</v>
      </c>
      <c r="G429" s="121"/>
    </row>
    <row r="430" spans="2:7" ht="21">
      <c r="B430" s="44" t="s">
        <v>67</v>
      </c>
      <c r="C430" s="40" t="s">
        <v>78</v>
      </c>
      <c r="D430" s="20">
        <f t="shared" ref="D430" si="105">SUM(D431:D433)</f>
        <v>460.19200126594808</v>
      </c>
      <c r="E430" s="20">
        <f>SUM(E431:E433)</f>
        <v>403.74240635353129</v>
      </c>
      <c r="F430" s="20">
        <f>SUM(F431:F433)</f>
        <v>56.449594912416778</v>
      </c>
      <c r="G430" s="21"/>
    </row>
    <row r="431" spans="2:7">
      <c r="B431" s="38" t="s">
        <v>90</v>
      </c>
      <c r="C431" s="39" t="s">
        <v>60</v>
      </c>
      <c r="D431" s="26">
        <f>SUM(E431:F431)</f>
        <v>82.834560227870654</v>
      </c>
      <c r="E431" s="27">
        <f t="shared" ref="E431:F433" si="106">E318</f>
        <v>72.673633143635627</v>
      </c>
      <c r="F431" s="27">
        <f t="shared" si="106"/>
        <v>10.160927084235022</v>
      </c>
      <c r="G431" s="28"/>
    </row>
    <row r="432" spans="2:7" ht="22.5">
      <c r="B432" s="38" t="s">
        <v>91</v>
      </c>
      <c r="C432" s="39" t="s">
        <v>62</v>
      </c>
      <c r="D432" s="26">
        <f>SUM(E432:F432)</f>
        <v>0</v>
      </c>
      <c r="E432" s="27">
        <f t="shared" si="106"/>
        <v>0</v>
      </c>
      <c r="F432" s="27">
        <f t="shared" si="106"/>
        <v>0</v>
      </c>
      <c r="G432" s="28"/>
    </row>
    <row r="433" spans="2:7">
      <c r="B433" s="38" t="s">
        <v>92</v>
      </c>
      <c r="C433" s="39" t="s">
        <v>127</v>
      </c>
      <c r="D433" s="26">
        <f>SUM(E433:F433)</f>
        <v>377.35744103807741</v>
      </c>
      <c r="E433" s="27">
        <f t="shared" si="106"/>
        <v>331.06877320989565</v>
      </c>
      <c r="F433" s="27">
        <f t="shared" si="106"/>
        <v>46.288667828181758</v>
      </c>
      <c r="G433" s="28"/>
    </row>
    <row r="434" spans="2:7">
      <c r="B434" s="44" t="s">
        <v>82</v>
      </c>
      <c r="C434" s="35" t="s">
        <v>128</v>
      </c>
      <c r="D434" s="86">
        <f>D401+D416+D420+D424+D425+D426+D427+D428+D429+D430</f>
        <v>12462.823843499842</v>
      </c>
      <c r="E434" s="86">
        <f t="shared" ref="E434:F434" si="107">E401+E416+E420+E424+E425+E426+E427+E428+E429+E430</f>
        <v>10944.979454791814</v>
      </c>
      <c r="F434" s="86">
        <f t="shared" si="107"/>
        <v>1517.8443887080264</v>
      </c>
      <c r="G434" s="108"/>
    </row>
    <row r="435" spans="2:7">
      <c r="B435" s="22" t="s">
        <v>93</v>
      </c>
      <c r="C435" s="45" t="s">
        <v>66</v>
      </c>
      <c r="D435" s="46">
        <f>D434*0.2</f>
        <v>2492.5647686999687</v>
      </c>
      <c r="E435" s="46">
        <f t="shared" ref="E435:F435" si="108">E434*0.2</f>
        <v>2188.9958909583629</v>
      </c>
      <c r="F435" s="46">
        <f t="shared" si="108"/>
        <v>303.56887774160526</v>
      </c>
      <c r="G435" s="47"/>
    </row>
    <row r="436" spans="2:7" ht="21.75">
      <c r="B436" s="22" t="s">
        <v>129</v>
      </c>
      <c r="C436" s="35" t="s">
        <v>122</v>
      </c>
      <c r="D436" s="104">
        <f>SUM(D434:D435)</f>
        <v>14955.388612199811</v>
      </c>
      <c r="E436" s="104">
        <f>SUM(E434:E435)</f>
        <v>13133.975345750176</v>
      </c>
      <c r="F436" s="104">
        <f>SUM(F434:F435)</f>
        <v>1821.4132664496317</v>
      </c>
      <c r="G436" s="109"/>
    </row>
    <row r="437" spans="2:7" ht="21">
      <c r="B437" s="48" t="s">
        <v>130</v>
      </c>
      <c r="C437" s="66" t="s">
        <v>94</v>
      </c>
      <c r="D437" s="67">
        <f>SUM(E437:F437)</f>
        <v>3247.3809999999999</v>
      </c>
      <c r="E437" s="42">
        <f t="shared" ref="E437:F437" si="109">E324</f>
        <v>2849.04</v>
      </c>
      <c r="F437" s="42">
        <f t="shared" si="109"/>
        <v>398.34099999999995</v>
      </c>
      <c r="G437" s="43"/>
    </row>
    <row r="438" spans="2:7">
      <c r="E438" s="114"/>
      <c r="F438" s="114"/>
      <c r="G438" s="114"/>
    </row>
    <row r="439" spans="2:7">
      <c r="E439" s="17"/>
      <c r="F439" s="17"/>
      <c r="G439" s="17"/>
    </row>
    <row r="441" spans="2:7" ht="14.25">
      <c r="B441" s="52" t="s">
        <v>69</v>
      </c>
      <c r="D441" s="52"/>
      <c r="F441" s="53" t="s">
        <v>70</v>
      </c>
      <c r="G441" s="53"/>
    </row>
  </sheetData>
  <mergeCells count="50">
    <mergeCell ref="C17:F17"/>
    <mergeCell ref="B9:F9"/>
    <mergeCell ref="B11:B12"/>
    <mergeCell ref="C11:C12"/>
    <mergeCell ref="D11:D12"/>
    <mergeCell ref="E11:F11"/>
    <mergeCell ref="C121:F121"/>
    <mergeCell ref="B62:F62"/>
    <mergeCell ref="B64:B65"/>
    <mergeCell ref="C64:C65"/>
    <mergeCell ref="D64:D65"/>
    <mergeCell ref="E64:F64"/>
    <mergeCell ref="C70:F70"/>
    <mergeCell ref="B114:F114"/>
    <mergeCell ref="B116:B117"/>
    <mergeCell ref="C116:C117"/>
    <mergeCell ref="D116:D117"/>
    <mergeCell ref="E116:F116"/>
    <mergeCell ref="C223:F223"/>
    <mergeCell ref="B164:F164"/>
    <mergeCell ref="B167:B168"/>
    <mergeCell ref="C167:C168"/>
    <mergeCell ref="D167:D168"/>
    <mergeCell ref="E167:F167"/>
    <mergeCell ref="C173:F173"/>
    <mergeCell ref="B218:F218"/>
    <mergeCell ref="B220:B221"/>
    <mergeCell ref="C220:C221"/>
    <mergeCell ref="D220:D221"/>
    <mergeCell ref="E220:F220"/>
    <mergeCell ref="B228:F228"/>
    <mergeCell ref="B277:F277"/>
    <mergeCell ref="B279:B280"/>
    <mergeCell ref="C279:C280"/>
    <mergeCell ref="D279:D280"/>
    <mergeCell ref="E279:F279"/>
    <mergeCell ref="C282:F282"/>
    <mergeCell ref="B287:F287"/>
    <mergeCell ref="B337:F337"/>
    <mergeCell ref="B340:B341"/>
    <mergeCell ref="C340:C341"/>
    <mergeCell ref="D340:D341"/>
    <mergeCell ref="E340:F340"/>
    <mergeCell ref="B400:F400"/>
    <mergeCell ref="B344:F344"/>
    <mergeCell ref="B393:F393"/>
    <mergeCell ref="B396:B397"/>
    <mergeCell ref="C396:C397"/>
    <mergeCell ref="D396:D397"/>
    <mergeCell ref="E396:F396"/>
  </mergeCells>
  <pageMargins left="0.98425196850393704" right="0.39370078740157483" top="0.55118110236220474" bottom="0" header="0.31496062992125984" footer="0"/>
  <pageSetup paperSize="9" scale="9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4.9989318521683403E-2"/>
    <pageSetUpPr fitToPage="1"/>
  </sheetPr>
  <dimension ref="C3:H55"/>
  <sheetViews>
    <sheetView topLeftCell="A29" workbookViewId="0">
      <selection activeCell="E35" sqref="E35"/>
    </sheetView>
  </sheetViews>
  <sheetFormatPr defaultRowHeight="15"/>
  <cols>
    <col min="3" max="3" width="5.42578125" customWidth="1"/>
    <col min="4" max="4" width="38.7109375" customWidth="1"/>
    <col min="5" max="5" width="15.85546875" customWidth="1"/>
    <col min="6" max="6" width="16.28515625" customWidth="1"/>
    <col min="7" max="7" width="9.140625" customWidth="1"/>
    <col min="8" max="8" width="9.140625" hidden="1" customWidth="1"/>
  </cols>
  <sheetData>
    <row r="3" spans="3:6">
      <c r="D3" s="2"/>
      <c r="E3" s="2"/>
      <c r="F3" s="2" t="s">
        <v>141</v>
      </c>
    </row>
    <row r="4" spans="3:6">
      <c r="C4" s="122"/>
      <c r="D4" s="123"/>
      <c r="E4" s="123"/>
    </row>
    <row r="5" spans="3:6">
      <c r="C5" s="122"/>
      <c r="D5" s="2"/>
      <c r="E5" s="2" t="s">
        <v>1</v>
      </c>
    </row>
    <row r="6" spans="3:6">
      <c r="C6" s="122"/>
      <c r="D6" s="2"/>
      <c r="E6" s="2" t="s">
        <v>2</v>
      </c>
    </row>
    <row r="7" spans="3:6">
      <c r="C7" s="122"/>
      <c r="D7" s="2"/>
      <c r="E7" s="2" t="s">
        <v>163</v>
      </c>
    </row>
    <row r="8" spans="3:6">
      <c r="C8" s="122"/>
      <c r="D8" s="122"/>
      <c r="E8" s="123"/>
    </row>
    <row r="9" spans="3:6" ht="44.25" customHeight="1">
      <c r="C9" s="165" t="s">
        <v>142</v>
      </c>
      <c r="D9" s="165"/>
      <c r="E9" s="165"/>
      <c r="F9" s="165"/>
    </row>
    <row r="10" spans="3:6">
      <c r="C10" s="166"/>
      <c r="D10" s="166"/>
    </row>
    <row r="11" spans="3:6">
      <c r="C11" s="124"/>
      <c r="D11" s="124"/>
    </row>
    <row r="12" spans="3:6" ht="53.25" customHeight="1">
      <c r="C12" s="125" t="s">
        <v>4</v>
      </c>
      <c r="D12" s="125" t="s">
        <v>143</v>
      </c>
      <c r="E12" s="126" t="s">
        <v>144</v>
      </c>
      <c r="F12" s="126" t="s">
        <v>145</v>
      </c>
    </row>
    <row r="13" spans="3:6">
      <c r="C13" s="127"/>
      <c r="D13" s="127"/>
      <c r="E13" s="128" t="s">
        <v>146</v>
      </c>
      <c r="F13" s="128" t="s">
        <v>146</v>
      </c>
    </row>
    <row r="14" spans="3:6">
      <c r="C14" s="129">
        <v>1</v>
      </c>
      <c r="D14" s="129">
        <v>2</v>
      </c>
      <c r="E14" s="129">
        <v>3</v>
      </c>
      <c r="F14" s="129">
        <v>4</v>
      </c>
    </row>
    <row r="15" spans="3:6" ht="26.25" customHeight="1">
      <c r="C15" s="130" t="s">
        <v>147</v>
      </c>
      <c r="D15" s="131" t="s">
        <v>148</v>
      </c>
      <c r="E15" s="132">
        <f>'[12]11'!K14</f>
        <v>182.3817142911696</v>
      </c>
      <c r="F15" s="132">
        <f>'[12]11'!M14</f>
        <v>180.84158229116949</v>
      </c>
    </row>
    <row r="16" spans="3:6" ht="27" customHeight="1">
      <c r="C16" s="130" t="s">
        <v>149</v>
      </c>
      <c r="D16" s="131" t="s">
        <v>150</v>
      </c>
      <c r="E16" s="132">
        <f>'[12]11'!K16</f>
        <v>11.87</v>
      </c>
      <c r="F16" s="132">
        <f>'[12]11'!M16</f>
        <v>11.87</v>
      </c>
    </row>
    <row r="17" spans="3:6" ht="23.25" customHeight="1">
      <c r="C17" s="130" t="s">
        <v>151</v>
      </c>
      <c r="D17" s="131" t="s">
        <v>152</v>
      </c>
      <c r="E17" s="132">
        <f>'[12]11'!K18</f>
        <v>5.7387508975861543</v>
      </c>
      <c r="F17" s="132">
        <f>'[12]11'!M18</f>
        <v>5.7387508975861508</v>
      </c>
    </row>
    <row r="18" spans="3:6" ht="24" customHeight="1">
      <c r="C18" s="130" t="s">
        <v>153</v>
      </c>
      <c r="D18" s="133" t="s">
        <v>154</v>
      </c>
      <c r="E18" s="132">
        <f>'[12]11'!K19</f>
        <v>4.7057757360206462</v>
      </c>
      <c r="F18" s="132">
        <f>'[12]11'!M19</f>
        <v>4.7057757360206436</v>
      </c>
    </row>
    <row r="19" spans="3:6" ht="15" customHeight="1">
      <c r="C19" s="130" t="s">
        <v>155</v>
      </c>
      <c r="D19" s="133" t="s">
        <v>60</v>
      </c>
      <c r="E19" s="132">
        <f>'[12]11'!K20</f>
        <v>1.0329751615655081</v>
      </c>
      <c r="F19" s="132">
        <f>'[12]11'!M20</f>
        <v>1.0329751615655072</v>
      </c>
    </row>
    <row r="20" spans="3:6" ht="14.25" customHeight="1">
      <c r="C20" s="130" t="s">
        <v>156</v>
      </c>
      <c r="D20" s="131" t="s">
        <v>157</v>
      </c>
      <c r="E20" s="132">
        <f t="shared" ref="E20:F20" si="0">E15+E16+E17</f>
        <v>199.99046518875576</v>
      </c>
      <c r="F20" s="132">
        <f t="shared" si="0"/>
        <v>198.45033318875565</v>
      </c>
    </row>
    <row r="21" spans="3:6" ht="13.5" customHeight="1">
      <c r="C21" s="130" t="s">
        <v>158</v>
      </c>
      <c r="D21" s="134" t="s">
        <v>66</v>
      </c>
      <c r="E21" s="132">
        <f t="shared" ref="E21:F21" si="1">E20*0.2</f>
        <v>39.998093037751154</v>
      </c>
      <c r="F21" s="132">
        <f t="shared" si="1"/>
        <v>39.69006663775113</v>
      </c>
    </row>
    <row r="22" spans="3:6" ht="14.25" customHeight="1">
      <c r="C22" s="135">
        <v>6</v>
      </c>
      <c r="D22" s="134" t="s">
        <v>159</v>
      </c>
      <c r="E22" s="136">
        <f t="shared" ref="E22:F22" si="2">SUM(E20:E21)</f>
        <v>239.98855822650691</v>
      </c>
      <c r="F22" s="136">
        <f t="shared" si="2"/>
        <v>238.14039982650678</v>
      </c>
    </row>
    <row r="23" spans="3:6">
      <c r="E23" s="137"/>
      <c r="F23" s="137"/>
    </row>
    <row r="24" spans="3:6" ht="15.75" customHeight="1">
      <c r="C24" s="164"/>
      <c r="D24" s="164"/>
      <c r="E24" s="138"/>
    </row>
    <row r="27" spans="3:6" ht="15" customHeight="1">
      <c r="C27" s="52" t="s">
        <v>69</v>
      </c>
      <c r="D27" s="52"/>
      <c r="F27" s="53" t="s">
        <v>160</v>
      </c>
    </row>
    <row r="28" spans="3:6" ht="15" customHeight="1"/>
    <row r="31" spans="3:6">
      <c r="E31" s="2"/>
      <c r="F31" s="2" t="s">
        <v>161</v>
      </c>
    </row>
    <row r="32" spans="3:6">
      <c r="E32" s="123"/>
    </row>
    <row r="33" spans="3:8">
      <c r="C33" s="122"/>
      <c r="D33" s="122"/>
      <c r="E33" s="2" t="s">
        <v>1</v>
      </c>
    </row>
    <row r="34" spans="3:8">
      <c r="C34" s="122"/>
      <c r="D34" s="122"/>
      <c r="E34" s="2" t="s">
        <v>2</v>
      </c>
    </row>
    <row r="35" spans="3:8">
      <c r="C35" s="122"/>
      <c r="D35" s="122"/>
      <c r="E35" s="2" t="s">
        <v>163</v>
      </c>
    </row>
    <row r="36" spans="3:8">
      <c r="C36" s="122"/>
      <c r="D36" s="122"/>
      <c r="E36" s="123"/>
    </row>
    <row r="37" spans="3:8" ht="45" customHeight="1">
      <c r="C37" s="165" t="s">
        <v>162</v>
      </c>
      <c r="D37" s="165"/>
      <c r="E37" s="165"/>
      <c r="F37" s="165"/>
    </row>
    <row r="38" spans="3:8">
      <c r="C38" s="166"/>
      <c r="D38" s="166"/>
    </row>
    <row r="39" spans="3:8">
      <c r="C39" s="124"/>
      <c r="D39" s="124"/>
    </row>
    <row r="40" spans="3:8" ht="38.25" customHeight="1">
      <c r="C40" s="125" t="s">
        <v>4</v>
      </c>
      <c r="D40" s="125" t="s">
        <v>143</v>
      </c>
      <c r="E40" s="126" t="s">
        <v>144</v>
      </c>
      <c r="F40" s="126" t="s">
        <v>145</v>
      </c>
    </row>
    <row r="41" spans="3:8">
      <c r="C41" s="127"/>
      <c r="D41" s="127"/>
      <c r="E41" s="128" t="s">
        <v>146</v>
      </c>
      <c r="F41" s="128" t="s">
        <v>146</v>
      </c>
    </row>
    <row r="42" spans="3:8">
      <c r="C42" s="129">
        <v>1</v>
      </c>
      <c r="D42" s="129">
        <v>2</v>
      </c>
      <c r="E42" s="129">
        <v>3</v>
      </c>
      <c r="F42" s="129">
        <v>4</v>
      </c>
    </row>
    <row r="43" spans="3:8" ht="22.5">
      <c r="C43" s="130" t="s">
        <v>147</v>
      </c>
      <c r="D43" s="131" t="s">
        <v>148</v>
      </c>
      <c r="E43" s="132">
        <f>'[12]11'!K55</f>
        <v>183.60588152664585</v>
      </c>
      <c r="F43" s="132">
        <f>'[12]11'!M55</f>
        <v>182.0657495266457</v>
      </c>
    </row>
    <row r="44" spans="3:8" ht="22.5">
      <c r="C44" s="130" t="s">
        <v>149</v>
      </c>
      <c r="D44" s="131" t="s">
        <v>150</v>
      </c>
      <c r="E44" s="132">
        <f>'[12]11'!K57</f>
        <v>11.87</v>
      </c>
      <c r="F44" s="132">
        <f>'[12]11'!M57</f>
        <v>11.87</v>
      </c>
    </row>
    <row r="45" spans="3:8" ht="22.5">
      <c r="C45" s="130" t="s">
        <v>151</v>
      </c>
      <c r="D45" s="131" t="s">
        <v>152</v>
      </c>
      <c r="E45" s="132">
        <f>'[12]11'!K59</f>
        <v>5.7877175870052024</v>
      </c>
      <c r="F45" s="132">
        <f>SUM(F46:F47)</f>
        <v>5.787717587005198</v>
      </c>
    </row>
    <row r="46" spans="3:8" ht="23.25">
      <c r="C46" s="130" t="s">
        <v>153</v>
      </c>
      <c r="D46" s="133" t="s">
        <v>154</v>
      </c>
      <c r="E46" s="132">
        <f>'[12]11'!K60</f>
        <v>4.7459284213442654</v>
      </c>
      <c r="F46" s="132">
        <f>'[12]11'!M60</f>
        <v>4.7459284213442618</v>
      </c>
      <c r="H46" s="137"/>
    </row>
    <row r="47" spans="3:8">
      <c r="C47" s="130" t="s">
        <v>155</v>
      </c>
      <c r="D47" s="133" t="s">
        <v>60</v>
      </c>
      <c r="E47" s="132">
        <f>'[12]11'!K61</f>
        <v>1.0417891656609373</v>
      </c>
      <c r="F47" s="132">
        <f>'[12]11'!M61</f>
        <v>1.0417891656609359</v>
      </c>
    </row>
    <row r="48" spans="3:8">
      <c r="C48" s="130" t="s">
        <v>156</v>
      </c>
      <c r="D48" s="131" t="s">
        <v>157</v>
      </c>
      <c r="E48" s="132">
        <f t="shared" ref="E48" si="3">E43+E44+E45</f>
        <v>201.26359911365105</v>
      </c>
      <c r="F48" s="132">
        <f>F43+F44+F45+0.01</f>
        <v>199.7334671136509</v>
      </c>
    </row>
    <row r="49" spans="3:6">
      <c r="C49" s="130" t="s">
        <v>158</v>
      </c>
      <c r="D49" s="134" t="s">
        <v>66</v>
      </c>
      <c r="E49" s="132">
        <f t="shared" ref="E49:F49" si="4">E48*0.2</f>
        <v>40.252719822730214</v>
      </c>
      <c r="F49" s="132">
        <f t="shared" si="4"/>
        <v>39.946693422730185</v>
      </c>
    </row>
    <row r="50" spans="3:6">
      <c r="C50" s="135">
        <v>6</v>
      </c>
      <c r="D50" s="134" t="s">
        <v>159</v>
      </c>
      <c r="E50" s="136">
        <f t="shared" ref="E50:F50" si="5">SUM(E48:E49)</f>
        <v>241.51631893638125</v>
      </c>
      <c r="F50" s="136">
        <f t="shared" si="5"/>
        <v>239.68016053638109</v>
      </c>
    </row>
    <row r="51" spans="3:6">
      <c r="E51" s="137"/>
      <c r="F51" s="137"/>
    </row>
    <row r="52" spans="3:6">
      <c r="C52" s="164"/>
      <c r="D52" s="164"/>
      <c r="E52" s="138"/>
    </row>
    <row r="55" spans="3:6">
      <c r="C55" s="52" t="s">
        <v>69</v>
      </c>
      <c r="D55" s="52"/>
      <c r="F55" s="53" t="s">
        <v>160</v>
      </c>
    </row>
  </sheetData>
  <mergeCells count="6">
    <mergeCell ref="C52:D52"/>
    <mergeCell ref="C9:F9"/>
    <mergeCell ref="C10:D10"/>
    <mergeCell ref="C24:D24"/>
    <mergeCell ref="C37:F37"/>
    <mergeCell ref="C38:D38"/>
  </mergeCells>
  <conditionalFormatting sqref="C14:F14 C42:F42">
    <cfRule type="cellIs" dxfId="0" priority="1" operator="equal">
      <formula>0</formula>
    </cfRule>
  </conditionalFormatting>
  <pageMargins left="0.98425196850393704" right="0.51181102362204722" top="0.74803149606299213" bottom="0.74803149606299213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Тарифи на ТЕ (2)</vt:lpstr>
      <vt:lpstr>ГВП  (2)</vt:lpstr>
      <vt:lpstr>'ГВП  (2)'!Область_печати</vt:lpstr>
      <vt:lpstr>'Тарифи на ТЕ (2)'!Область_печати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ntmpeo1</dc:creator>
  <cp:lastModifiedBy>User</cp:lastModifiedBy>
  <dcterms:created xsi:type="dcterms:W3CDTF">2021-10-07T11:56:11Z</dcterms:created>
  <dcterms:modified xsi:type="dcterms:W3CDTF">2021-10-07T18:57:00Z</dcterms:modified>
</cp:coreProperties>
</file>