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L155" i="5"/>
  <c r="L167"/>
  <c r="F201"/>
  <c r="J179"/>
  <c r="G155"/>
  <c r="G160"/>
  <c r="G197"/>
  <c r="P160"/>
  <c r="L13"/>
  <c r="G143"/>
  <c r="P27"/>
  <c r="L17"/>
  <c r="L12"/>
  <c r="H49"/>
  <c r="I49"/>
  <c r="G49"/>
  <c r="J49"/>
  <c r="K49"/>
  <c r="L49"/>
  <c r="M49"/>
  <c r="N49"/>
  <c r="O49"/>
  <c r="P49"/>
  <c r="G65"/>
  <c r="J159"/>
  <c r="L178"/>
  <c r="G145"/>
  <c r="G141"/>
  <c r="G140"/>
  <c r="P140"/>
  <c r="G139"/>
  <c r="L143"/>
  <c r="L154"/>
  <c r="G131"/>
  <c r="L32"/>
  <c r="G13"/>
  <c r="G188"/>
  <c r="G37"/>
  <c r="G14"/>
  <c r="I148"/>
  <c r="G148"/>
  <c r="P176"/>
  <c r="L176"/>
  <c r="G176"/>
  <c r="G22"/>
  <c r="P74"/>
  <c r="G104" l="1"/>
  <c r="Q85"/>
  <c r="K43"/>
  <c r="Q43" s="1"/>
  <c r="Q202"/>
  <c r="Q203"/>
  <c r="K202"/>
  <c r="K203"/>
  <c r="G128"/>
  <c r="L163" l="1"/>
  <c r="L77"/>
  <c r="G142" l="1"/>
  <c r="H141"/>
  <c r="H130"/>
  <c r="G130"/>
  <c r="H129"/>
  <c r="G129"/>
  <c r="H128"/>
  <c r="H127"/>
  <c r="G127"/>
  <c r="H126"/>
  <c r="G126"/>
  <c r="H70"/>
  <c r="G70"/>
  <c r="H63"/>
  <c r="G63"/>
  <c r="H62"/>
  <c r="G62"/>
  <c r="H54"/>
  <c r="G54"/>
  <c r="H52"/>
  <c r="G52"/>
  <c r="H113"/>
  <c r="G113"/>
  <c r="H112"/>
  <c r="G112"/>
  <c r="H27"/>
  <c r="G27"/>
  <c r="H187"/>
  <c r="G187"/>
  <c r="H50"/>
  <c r="G50"/>
  <c r="H148"/>
  <c r="H85"/>
  <c r="G85"/>
  <c r="H13"/>
  <c r="H196"/>
  <c r="G196"/>
  <c r="G195" s="1"/>
  <c r="P77"/>
  <c r="P155"/>
  <c r="G17"/>
  <c r="P139"/>
  <c r="L136"/>
  <c r="L42"/>
  <c r="G42"/>
  <c r="L139"/>
  <c r="G137"/>
  <c r="L165"/>
  <c r="K50"/>
  <c r="K51"/>
  <c r="K52"/>
  <c r="K53"/>
  <c r="K54"/>
  <c r="K55"/>
  <c r="K56"/>
  <c r="K57"/>
  <c r="K58"/>
  <c r="K59"/>
  <c r="K60"/>
  <c r="K61"/>
  <c r="K62"/>
  <c r="K63"/>
  <c r="K64"/>
  <c r="K65"/>
  <c r="K66"/>
  <c r="K67"/>
  <c r="K68"/>
  <c r="K69"/>
  <c r="K70"/>
  <c r="K71"/>
  <c r="K72"/>
  <c r="K73"/>
  <c r="K74"/>
  <c r="K75"/>
  <c r="K76"/>
  <c r="K78"/>
  <c r="K79"/>
  <c r="K80"/>
  <c r="K81"/>
  <c r="P57"/>
  <c r="L57"/>
  <c r="H57"/>
  <c r="G57"/>
  <c r="G124"/>
  <c r="L134"/>
  <c r="F203"/>
  <c r="G18"/>
  <c r="G16"/>
  <c r="J177"/>
  <c r="L54"/>
  <c r="G64"/>
  <c r="G80"/>
  <c r="M160"/>
  <c r="G134"/>
  <c r="L127"/>
  <c r="G30"/>
  <c r="P30"/>
  <c r="M183"/>
  <c r="M175"/>
  <c r="L81"/>
  <c r="K77" l="1"/>
  <c r="P59"/>
  <c r="G59"/>
  <c r="H66"/>
  <c r="G66"/>
  <c r="L187" l="1"/>
  <c r="P81"/>
  <c r="Q58"/>
  <c r="H65"/>
  <c r="I65"/>
  <c r="H55"/>
  <c r="H53"/>
  <c r="I53"/>
  <c r="H84"/>
  <c r="I84"/>
  <c r="K85"/>
  <c r="L184"/>
  <c r="P184" s="1"/>
  <c r="L175"/>
  <c r="P175" s="1"/>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61"/>
  <c r="G156"/>
  <c r="G150"/>
  <c r="G149"/>
  <c r="G138"/>
  <c r="P134"/>
  <c r="L131"/>
  <c r="P131" s="1"/>
  <c r="G125"/>
  <c r="P120"/>
  <c r="G118"/>
  <c r="G117"/>
  <c r="G116"/>
  <c r="G115"/>
  <c r="G92"/>
  <c r="G84" s="1"/>
  <c r="G86"/>
  <c r="L80"/>
  <c r="P80" s="1"/>
  <c r="G47"/>
  <c r="G44"/>
  <c r="F43"/>
  <c r="L37"/>
  <c r="P37" s="1"/>
  <c r="L35"/>
  <c r="P35" s="1"/>
  <c r="P32"/>
  <c r="G31"/>
  <c r="G29"/>
  <c r="G28"/>
  <c r="G26"/>
  <c r="G25"/>
  <c r="G20"/>
  <c r="P17"/>
  <c r="P16"/>
  <c r="G21"/>
  <c r="G19"/>
  <c r="G15"/>
  <c r="P15"/>
  <c r="G41"/>
  <c r="F53" l="1"/>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K46"/>
  <c r="F46"/>
  <c r="K45"/>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<sst xmlns="http://schemas.openxmlformats.org/spreadsheetml/2006/main" count="810" uniqueCount="555">
  <si>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</si>
  <si>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</si>
  <si>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</si>
  <si>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</si>
  <si>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</si>
  <si>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</si>
  <si>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</si>
  <si>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</si>
  <si>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</si>
  <si>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</si>
  <si>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</si>
  <si>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</si>
  <si>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</si>
  <si>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</si>
  <si>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</si>
  <si>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</si>
  <si>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</si>
  <si>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</si>
  <si>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</si>
  <si>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</si>
  <si>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</si>
  <si>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</si>
  <si>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</si>
  <si>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</si>
  <si>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</si>
  <si>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</si>
  <si>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</si>
  <si>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</si>
  <si>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</si>
  <si>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</si>
  <si>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</si>
  <si>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</si>
  <si>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</si>
  <si>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</si>
  <si>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</si>
  <si>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</si>
  <si>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</si>
  <si>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</si>
  <si>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</si>
  <si>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</si>
  <si>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</si>
  <si>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</si>
  <si>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</si>
  <si>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</si>
  <si>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</si>
  <si>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</si>
  <si>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</si>
  <si>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</si>
  <si>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</si>
  <si>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</si>
  <si>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</si>
  <si>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</si>
  <si>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</si>
  <si>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</si>
  <si>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</si>
  <si>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</si>
  <si>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</si>
  <si>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</si>
  <si>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</si>
  <si>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</si>
  <si>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</si>
  <si>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</si>
  <si>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</si>
  <si>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</si>
  <si>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</si>
  <si>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</si>
  <si>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</si>
  <si>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</si>
  <si>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</si>
  <si>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</si>
  <si>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</si>
  <si>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</si>
  <si>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</si>
  <si>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</si>
  <si>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</si>
  <si>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</si>
  <si>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</si>
  <si>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</si>
  <si>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</si>
  <si>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</si>
  <si>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</si>
  <si>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</si>
  <si>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</si>
  <si>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</si>
  <si>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</si>
  <si>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</si>
  <si>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</si>
  <si>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</si>
  <si>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</si>
  <si>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</si>
  <si>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</si>
  <si>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</si>
  <si>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</si>
  <si>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</si>
  <si>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</si>
  <si>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</si>
  <si>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</si>
  <si>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</si>
  <si>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</si>
  <si>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</si>
  <si>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</si>
  <si>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</si>
  <si>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</si>
  <si>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</si>
  <si>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</si>
  <si>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</si>
  <si>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</si>
  <si>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</si>
  <si>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</si>
  <si>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</si>
  <si>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</si>
  <si>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</si>
  <si>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</si>
  <si>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</si>
  <si>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</si>
  <si>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</si>
  <si>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</si>
  <si>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</si>
  <si>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</si>
  <si>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</si>
  <si>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</si>
  <si>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</si>
  <si>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</si>
  <si>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</si>
  <si>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</si>
  <si>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</si>
  <si>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</si>
  <si>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</si>
  <si>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</si>
  <si>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</si>
  <si>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</si>
  <si>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</si>
  <si>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</si>
  <si>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</si>
  <si>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</si>
  <si>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</si>
  <si>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</si>
  <si>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</si>
  <si>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</si>
  <si>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</si>
  <si>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</si>
  <si>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</si>
  <si>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</si>
  <si>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</si>
  <si>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</si>
  <si>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</si>
  <si>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</si>
  <si>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</si>
  <si>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</si>
  <si>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</si>
  <si>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</si>
  <si>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</si>
  <si>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</si>
  <si>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</si>
  <si>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</si>
  <si>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</si>
  <si>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</si>
  <si>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</si>
  <si>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</si>
  <si>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</si>
  <si>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</si>
  <si>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</si>
  <si>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</si>
  <si>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</si>
  <si>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</si>
  <si>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</si>
  <si>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</si>
  <si>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</si>
  <si>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</si>
  <si>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</si>
  <si>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</si>
  <si>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</si>
  <si>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</si>
  <si>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</si>
  <si>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</si>
  <si>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</si>
  <si>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</si>
  <si>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</si>
  <si>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</si>
  <si>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</si>
  <si>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</si>
  <si>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</si>
  <si>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</si>
  <si>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</si>
  <si>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</si>
  <si>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</si>
  <si>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</si>
  <si>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</si>
  <si>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</si>
  <si>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</si>
  <si>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</si>
  <si>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</si>
  <si>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</si>
  <si>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</si>
  <si>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</si>
  <si>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</si>
  <si>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</si>
  <si>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</si>
  <si>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</si>
  <si>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</si>
  <si>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</si>
  <si>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</si>
  <si>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</si>
  <si>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</si>
  <si>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</si>
  <si>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</si>
  <si>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</si>
  <si>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</si>
  <si>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</si>
  <si>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</si>
  <si>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</si>
  <si>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</si>
  <si>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</si>
  <si>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</si>
  <si>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</si>
  <si>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</si>
  <si>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</si>
  <si>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</si>
  <si>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</si>
  <si>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</si>
  <si>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</si>
  <si>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</si>
  <si>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</si>
  <si>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</si>
  <si>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</si>
  <si>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</si>
  <si>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</si>
  <si>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</si>
  <si>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</si>
  <si>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</si>
  <si>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</si>
  <si>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</si>
  <si>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</si>
  <si>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</si>
  <si>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</si>
  <si>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</si>
  <si>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</si>
  <si>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</si>
  <si>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</si>
  <si>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</si>
  <si>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</si>
  <si>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</si>
  <si>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</si>
  <si>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</si>
  <si>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</si>
  <si>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</si>
  <si>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</si>
  <si>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</si>
  <si>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</si>
  <si>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</si>
  <si>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</si>
  <si>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</si>
  <si>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</si>
  <si>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</si>
  <si>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</si>
  <si>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</si>
  <si>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</si>
  <si>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</si>
  <si>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</si>
  <si>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</si>
  <si>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</si>
  <si>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</si>
  <si>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</si>
  <si>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</si>
  <si>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</si>
  <si>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</si>
  <si>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</si>
  <si>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</si>
  <si>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</si>
  <si>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</si>
  <si>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</si>
  <si>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</si>
  <si>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</si>
  <si>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</si>
  <si>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</si>
  <si>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</si>
  <si>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</si>
  <si>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</si>
  <si>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</si>
  <si>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</si>
  <si>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</si>
  <si>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</si>
  <si>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</si>
  <si>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</si>
  <si>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</si>
  <si>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</si>
  <si>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</si>
  <si>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</si>
  <si>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</si>
  <si>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</si>
  <si>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</si>
  <si>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</si>
  <si>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</si>
  <si>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</si>
  <si>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</si>
  <si>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</si>
  <si>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</si>
  <si>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</si>
  <si>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</si>
  <si>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</si>
  <si>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</si>
  <si>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</si>
  <si>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</si>
  <si>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</si>
  <si>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</si>
  <si>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</si>
  <si>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</si>
  <si>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</si>
  <si>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</si>
  <si>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</si>
  <si>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</si>
  <si>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</si>
  <si>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</si>
  <si>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</si>
  <si>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</si>
  <si>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</si>
  <si>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</si>
  <si>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</si>
  <si>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</si>
  <si>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</si>
  <si>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</si>
  <si>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</si>
  <si>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</si>
  <si>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</si>
  <si>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</si>
  <si>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</si>
  <si>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</si>
  <si>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</si>
  <si>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</si>
  <si>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</si>
  <si>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</si>
  <si>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</si>
  <si>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</si>
  <si>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</si>
  <si>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</si>
  <si>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</si>
  <si>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</si>
  <si>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</si>
  <si>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</si>
  <si>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</si>
  <si>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</si>
  <si>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</si>
  <si>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</si>
  <si>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</si>
  <si>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</si>
  <si>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</si>
  <si>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</si>
  <si>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</si>
  <si>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</si>
  <si>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</si>
  <si>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</si>
  <si>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</si>
  <si>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</si>
  <si>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</si>
  <si>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</si>
  <si>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</si>
  <si>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</si>
  <si>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</si>
  <si>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</si>
  <si>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</si>
  <si>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</si>
  <si>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</si>
  <si>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</si>
  <si>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</si>
  <si>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</si>
  <si>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</si>
  <si>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</si>
  <si>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</si>
  <si>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</si>
  <si>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</si>
  <si>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</si>
  <si>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</si>
  <si>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</si>
  <si>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</si>
  <si>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</si>
  <si>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</si>
  <si>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</si>
  <si>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</si>
  <si>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</si>
  <si>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</si>
  <si>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</si>
  <si>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</si>
  <si>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</si>
  <si>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</si>
  <si>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</si>
  <si>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</si>
  <si>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</si>
  <si>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</si>
  <si>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</si>
  <si>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</si>
  <si>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</si>
  <si>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</si>
  <si>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</si>
  <si>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</si>
  <si>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</si>
  <si>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</si>
  <si>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</si>
  <si>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</si>
  <si>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</si>
  <si>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</si>
  <si>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</si>
  <si>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</si>
  <si>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</si>
  <si>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</si>
  <si>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</si>
  <si>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</si>
  <si>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</si>
  <si>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</si>
  <si>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</si>
  <si>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</si>
  <si>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</si>
  <si>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</si>
  <si>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</si>
  <si>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</si>
  <si>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</si>
  <si>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</si>
  <si>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</si>
  <si>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</si>
  <si>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</si>
  <si>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</si>
  <si>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</si>
  <si>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</si>
  <si>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</si>
  <si>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</si>
  <si>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</si>
  <si>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</si>
  <si>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</si>
  <si>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</si>
  <si>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</si>
  <si>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</si>
  <si>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</si>
  <si>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</si>
  <si>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</si>
  <si>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</si>
  <si>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</si>
  <si>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</si>
  <si>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</si>
  <si>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</si>
  <si>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</si>
  <si>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</si>
  <si>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</si>
  <si>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</si>
  <si>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</si>
  <si>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</si>
  <si>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</si>
  <si>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</si>
  <si>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</si>
  <si>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</si>
  <si>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</si>
  <si>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</si>
  <si>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</si>
  <si>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</si>
  <si>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</si>
  <si>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</si>
  <si>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</si>
  <si>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</si>
  <si>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</si>
  <si>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</si>
  <si>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</si>
  <si>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</si>
  <si>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</si>
  <si>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</si>
  <si>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</si>
  <si>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</si>
  <si>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</si>
  <si>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</si>
  <si>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</si>
  <si>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</si>
  <si>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</si>
  <si>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</si>
  <si>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</si>
  <si>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</si>
  <si>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</si>
  <si>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</si>
  <si>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</si>
  <si>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</si>
  <si>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</si>
  <si>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</si>
  <si>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</si>
  <si>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</si>
  <si>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</si>
  <si>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</si>
  <si>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</si>
  <si>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</si>
  <si>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</si>
  <si>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</si>
  <si>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</si>
  <si>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</si>
  <si>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</si>
  <si>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</si>
  <si>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</si>
  <si>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</si>
  <si>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</si>
  <si>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</si>
  <si>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</si>
  <si>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</si>
  <si>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</si>
  <si>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</si>
  <si>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</si>
  <si>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</si>
  <si>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</si>
  <si>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</si>
  <si>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</si>
  <si>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</si>
  <si>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</si>
  <si>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</si>
  <si>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</si>
  <si>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</si>
  <si>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</si>
  <si>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</si>
  <si>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</si>
  <si>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</si>
  <si>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</si>
  <si>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</si>
  <si>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</si>
  <si>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</si>
  <si>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</si>
  <si>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</si>
  <si>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</si>
  <si>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</si>
  <si>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</si>
  <si>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</si>
  <si>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</si>
  <si>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</si>
  <si>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</si>
  <si>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</si>
  <si>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</si>
  <si>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</si>
  <si>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</si>
  <si>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</si>
  <si>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</si>
  <si>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</si>
  <si>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</si>
  <si>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</si>
  <si>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</si>
  <si>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</si>
  <si>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</si>
  <si>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</si>
  <si>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</si>
  <si>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</si>
  <si>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</si>
  <si>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</si>
  <si>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</si>
  <si>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</si>
  <si>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</si>
  <si>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</si>
  <si>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</si>
  <si>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</si>
  <si>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</si>
  <si>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</si>
  <si>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</si>
  <si>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</si>
  <si>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</si>
  <si>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</si>
  <si>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30 березня 2021 року № 12-8/2021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</si>
</sst>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9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24.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62649115</v>
      </c>
      <c r="G11" s="59">
        <f>G12</f>
        <v>61724005</v>
      </c>
      <c r="H11" s="59">
        <f t="shared" ref="H11:P11" si="0">H12</f>
        <v>23200500</v>
      </c>
      <c r="I11" s="59">
        <f t="shared" si="0"/>
        <v>802800</v>
      </c>
      <c r="J11" s="59">
        <f t="shared" si="0"/>
        <v>925110</v>
      </c>
      <c r="K11" s="59">
        <f t="shared" si="0"/>
        <v>15535801</v>
      </c>
      <c r="L11" s="59">
        <f t="shared" si="0"/>
        <v>15505801</v>
      </c>
      <c r="M11" s="59">
        <f t="shared" si="0"/>
        <v>30000</v>
      </c>
      <c r="N11" s="59">
        <f t="shared" si="0"/>
        <v>0</v>
      </c>
      <c r="O11" s="59">
        <f t="shared" si="0"/>
        <v>0</v>
      </c>
      <c r="P11" s="59">
        <f t="shared" si="0"/>
        <v>15505801</v>
      </c>
      <c r="Q11" s="59">
        <f t="shared" ref="Q11:Q87" si="1">F11+K11</f>
        <v>78184916</v>
      </c>
      <c r="T11" s="16"/>
    </row>
    <row r="12" spans="1:20" s="15" customFormat="1" ht="52.2" customHeight="1">
      <c r="A12" s="60" t="s">
        <v>115</v>
      </c>
      <c r="B12" s="60" t="s">
        <v>115</v>
      </c>
      <c r="C12" s="61"/>
      <c r="D12" s="62" t="s">
        <v>110</v>
      </c>
      <c r="E12" s="61"/>
      <c r="F12" s="63">
        <f t="shared" ref="F12:P12" si="2">SUM(F13:F47)</f>
        <v>62649115</v>
      </c>
      <c r="G12" s="63">
        <f t="shared" si="2"/>
        <v>61724005</v>
      </c>
      <c r="H12" s="63">
        <f t="shared" si="2"/>
        <v>23200500</v>
      </c>
      <c r="I12" s="63">
        <f t="shared" si="2"/>
        <v>802800</v>
      </c>
      <c r="J12" s="63">
        <f t="shared" si="2"/>
        <v>925110</v>
      </c>
      <c r="K12" s="63">
        <f t="shared" si="2"/>
        <v>15535801</v>
      </c>
      <c r="L12" s="63">
        <f>SUM(L13:L47)</f>
        <v>15505801</v>
      </c>
      <c r="M12" s="63">
        <f t="shared" si="2"/>
        <v>30000</v>
      </c>
      <c r="N12" s="63">
        <f t="shared" si="2"/>
        <v>0</v>
      </c>
      <c r="O12" s="63">
        <f t="shared" si="2"/>
        <v>0</v>
      </c>
      <c r="P12" s="63">
        <f t="shared" si="2"/>
        <v>15505801</v>
      </c>
      <c r="Q12" s="63">
        <f t="shared" si="1"/>
        <v>78184916</v>
      </c>
      <c r="R12" s="38"/>
      <c r="T12" s="16"/>
    </row>
    <row r="13" spans="1:20" s="17" customFormat="1" ht="75.599999999999994" customHeight="1">
      <c r="A13" s="52" t="s">
        <v>116</v>
      </c>
      <c r="B13" s="52" t="s">
        <v>326</v>
      </c>
      <c r="C13" s="52" t="s">
        <v>58</v>
      </c>
      <c r="D13" s="109" t="s">
        <v>475</v>
      </c>
      <c r="E13" s="3" t="s">
        <v>2</v>
      </c>
      <c r="F13" s="86">
        <f t="shared" ref="F13:F90" si="3">G13+J13</f>
        <v>28346650</v>
      </c>
      <c r="G13" s="86">
        <f>25644400+1000000+150000+1500000+52250</f>
        <v>28346650</v>
      </c>
      <c r="H13" s="87">
        <f>18826000+1200000</f>
        <v>20026000</v>
      </c>
      <c r="I13" s="87">
        <v>688400</v>
      </c>
      <c r="J13" s="87"/>
      <c r="K13" s="86">
        <f t="shared" ref="K13:K46" si="4">M13+P13</f>
        <v>876500</v>
      </c>
      <c r="L13" s="86">
        <f>60000+186500+600000</f>
        <v>846500</v>
      </c>
      <c r="M13" s="86">
        <v>30000</v>
      </c>
      <c r="N13" s="86"/>
      <c r="O13" s="87"/>
      <c r="P13" s="87">
        <f>L13</f>
        <v>846500</v>
      </c>
      <c r="Q13" s="63">
        <f t="shared" si="1"/>
        <v>29223150</v>
      </c>
      <c r="T13" s="14"/>
    </row>
    <row r="14" spans="1:20" s="17" customFormat="1" ht="45" customHeight="1">
      <c r="A14" s="52" t="s">
        <v>134</v>
      </c>
      <c r="B14" s="52" t="s">
        <v>266</v>
      </c>
      <c r="C14" s="52" t="s">
        <v>69</v>
      </c>
      <c r="D14" s="109" t="s">
        <v>135</v>
      </c>
      <c r="E14" s="3"/>
      <c r="F14" s="86">
        <f t="shared" si="3"/>
        <v>1658500</v>
      </c>
      <c r="G14" s="86">
        <f>210000+70000+400000+503000+1000+300000+144500+30000</f>
        <v>1658500</v>
      </c>
      <c r="H14" s="87"/>
      <c r="I14" s="87"/>
      <c r="J14" s="87"/>
      <c r="K14" s="86">
        <f t="shared" si="4"/>
        <v>0</v>
      </c>
      <c r="L14" s="86"/>
      <c r="M14" s="86"/>
      <c r="N14" s="86"/>
      <c r="O14" s="87"/>
      <c r="P14" s="87"/>
      <c r="Q14" s="63">
        <f t="shared" si="1"/>
        <v>1658500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2618440</v>
      </c>
      <c r="G17" s="86">
        <f>2570000+25500+22940</f>
        <v>2618440</v>
      </c>
      <c r="H17" s="87"/>
      <c r="I17" s="87"/>
      <c r="J17" s="87"/>
      <c r="K17" s="86">
        <f t="shared" si="4"/>
        <v>498817</v>
      </c>
      <c r="L17" s="86">
        <f>330000+48817+120000</f>
        <v>498817</v>
      </c>
      <c r="M17" s="86"/>
      <c r="N17" s="86"/>
      <c r="O17" s="87"/>
      <c r="P17" s="88">
        <f>L17</f>
        <v>498817</v>
      </c>
      <c r="Q17" s="63">
        <f t="shared" si="1"/>
        <v>3117257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1012310</v>
      </c>
      <c r="G37" s="86">
        <f>440300+46900</f>
        <v>487200</v>
      </c>
      <c r="H37" s="87"/>
      <c r="I37" s="87"/>
      <c r="J37" s="87">
        <v>525110</v>
      </c>
      <c r="K37" s="86">
        <f t="shared" si="4"/>
        <v>1484800</v>
      </c>
      <c r="L37" s="86">
        <f>1484800</f>
        <v>1484800</v>
      </c>
      <c r="M37" s="86"/>
      <c r="N37" s="86"/>
      <c r="O37" s="87"/>
      <c r="P37" s="87">
        <f>L37</f>
        <v>1484800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95" customHeight="1">
      <c r="A48" s="56" t="s">
        <v>138</v>
      </c>
      <c r="B48" s="56" t="s">
        <v>138</v>
      </c>
      <c r="C48" s="66"/>
      <c r="D48" s="84" t="s">
        <v>27</v>
      </c>
      <c r="E48" s="66" t="s">
        <v>27</v>
      </c>
      <c r="F48" s="59">
        <f>F49</f>
        <v>258490846.40999997</v>
      </c>
      <c r="G48" s="59">
        <f t="shared" ref="G48:P48" si="5">G49</f>
        <v>258490846.40999997</v>
      </c>
      <c r="H48" s="59">
        <f t="shared" si="5"/>
        <v>176824449.20999995</v>
      </c>
      <c r="I48" s="59">
        <f t="shared" si="5"/>
        <v>21015260</v>
      </c>
      <c r="J48" s="59">
        <f t="shared" si="5"/>
        <v>0</v>
      </c>
      <c r="K48" s="59">
        <f t="shared" si="5"/>
        <v>13988513.440000001</v>
      </c>
      <c r="L48" s="59">
        <f t="shared" si="5"/>
        <v>5038513.4400000004</v>
      </c>
      <c r="M48" s="59">
        <f t="shared" si="5"/>
        <v>8950000</v>
      </c>
      <c r="N48" s="59">
        <f t="shared" si="5"/>
        <v>170000</v>
      </c>
      <c r="O48" s="59">
        <f t="shared" si="5"/>
        <v>335000</v>
      </c>
      <c r="P48" s="59">
        <f t="shared" si="5"/>
        <v>5038513.4400000004</v>
      </c>
      <c r="Q48" s="59">
        <f t="shared" si="1"/>
        <v>272479359.84999996</v>
      </c>
      <c r="T48" s="16"/>
    </row>
    <row r="49" spans="1:20" s="18" customFormat="1" ht="55.95" customHeight="1">
      <c r="A49" s="60" t="s">
        <v>139</v>
      </c>
      <c r="B49" s="60" t="s">
        <v>139</v>
      </c>
      <c r="C49" s="67"/>
      <c r="D49" s="85" t="s">
        <v>173</v>
      </c>
      <c r="E49" s="67"/>
      <c r="F49" s="63">
        <f>G49</f>
        <v>258490846.40999997</v>
      </c>
      <c r="G49" s="63">
        <f>SUM(G50:G81)-G54-G56-G59-G66-G68-G67</f>
        <v>258490846.40999997</v>
      </c>
      <c r="H49" s="63">
        <f t="shared" ref="H49:I49" si="6">SUM(H50:H81)-H54-H56-H59-H66-H68-H67</f>
        <v>176824449.20999995</v>
      </c>
      <c r="I49" s="63">
        <f t="shared" si="6"/>
        <v>21015260</v>
      </c>
      <c r="J49" s="63">
        <f t="shared" ref="J49:P49" si="7">SUM(J50:J81)-J54-J56-J59-J66-J68</f>
        <v>0</v>
      </c>
      <c r="K49" s="63">
        <f t="shared" si="7"/>
        <v>13988513.440000001</v>
      </c>
      <c r="L49" s="63">
        <f t="shared" si="7"/>
        <v>5038513.4400000004</v>
      </c>
      <c r="M49" s="63">
        <f t="shared" si="7"/>
        <v>8950000</v>
      </c>
      <c r="N49" s="63">
        <f t="shared" si="7"/>
        <v>170000</v>
      </c>
      <c r="O49" s="63">
        <f t="shared" si="7"/>
        <v>335000</v>
      </c>
      <c r="P49" s="63">
        <f t="shared" si="7"/>
        <v>5038513.4400000004</v>
      </c>
      <c r="Q49" s="63">
        <f t="shared" si="1"/>
        <v>272479359.84999996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57849435.539999999</v>
      </c>
      <c r="G53" s="86">
        <f>G54</f>
        <v>57849435.539999999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63141634.879999995</v>
      </c>
      <c r="T53" s="14"/>
    </row>
    <row r="54" spans="1:20" s="6" customFormat="1" ht="49.95" customHeight="1">
      <c r="A54" s="68" t="s">
        <v>479</v>
      </c>
      <c r="B54" s="68" t="s">
        <v>477</v>
      </c>
      <c r="C54" s="68" t="s">
        <v>71</v>
      </c>
      <c r="D54" s="116" t="s">
        <v>478</v>
      </c>
      <c r="E54" s="83"/>
      <c r="F54" s="86">
        <f>G54</f>
        <v>57849435.539999999</v>
      </c>
      <c r="G54" s="86">
        <f>3500000+6000+5000+115500+43929379+25300+60000+400000+223900-409000+14056.24+57300.3+1372000+100000+8450000</f>
        <v>57849435.539999999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63141634.879999995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1928430.62</v>
      </c>
      <c r="G65" s="86">
        <f>G66+G67+G68+G69</f>
        <v>1928430.62</v>
      </c>
      <c r="H65" s="86">
        <f t="shared" ref="H65:I65" si="13">H66+H67+H68+H69</f>
        <v>1379856</v>
      </c>
      <c r="I65" s="86">
        <f t="shared" si="13"/>
        <v>81290</v>
      </c>
      <c r="J65" s="87"/>
      <c r="K65" s="63">
        <f t="shared" si="8"/>
        <v>0</v>
      </c>
      <c r="L65" s="86"/>
      <c r="M65" s="87"/>
      <c r="N65" s="86"/>
      <c r="O65" s="87"/>
      <c r="P65" s="87"/>
      <c r="Q65" s="63">
        <f t="shared" si="1"/>
        <v>1928430.62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377758.62</v>
      </c>
      <c r="G68" s="86">
        <v>377758.62</v>
      </c>
      <c r="H68" s="87">
        <v>309640</v>
      </c>
      <c r="I68" s="87"/>
      <c r="J68" s="87"/>
      <c r="K68" s="63">
        <f t="shared" si="8"/>
        <v>0</v>
      </c>
      <c r="L68" s="86"/>
      <c r="M68" s="87"/>
      <c r="N68" s="86"/>
      <c r="O68" s="87"/>
      <c r="P68" s="87"/>
      <c r="Q68" s="63">
        <f t="shared" si="1"/>
        <v>377758.62</v>
      </c>
      <c r="T68" s="14"/>
    </row>
    <row r="69" spans="1:20" s="6" customFormat="1" ht="164.4" customHeight="1">
      <c r="A69" s="52" t="s">
        <v>503</v>
      </c>
      <c r="B69" s="52" t="s">
        <v>507</v>
      </c>
      <c r="C69" s="72" t="s">
        <v>73</v>
      </c>
      <c r="D69" s="54" t="s">
        <v>511</v>
      </c>
      <c r="E69" s="83"/>
      <c r="F69" s="86">
        <f t="shared" si="12"/>
        <v>0</v>
      </c>
      <c r="G69" s="86"/>
      <c r="H69" s="87"/>
      <c r="I69" s="87"/>
      <c r="J69" s="87"/>
      <c r="K69" s="63">
        <f t="shared" si="8"/>
        <v>0</v>
      </c>
      <c r="L69" s="86"/>
      <c r="M69" s="87"/>
      <c r="N69" s="86"/>
      <c r="O69" s="87"/>
      <c r="P69" s="87"/>
      <c r="Q69" s="63">
        <f t="shared" si="1"/>
        <v>0</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1249000</v>
      </c>
      <c r="L77" s="86">
        <f>49000+1200000</f>
        <v>1249000</v>
      </c>
      <c r="M77" s="87"/>
      <c r="N77" s="86"/>
      <c r="O77" s="87"/>
      <c r="P77" s="87">
        <f>L77</f>
        <v>1249000</v>
      </c>
      <c r="Q77" s="63">
        <f t="shared" si="1"/>
        <v>1249000</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978900</v>
      </c>
      <c r="G80" s="86">
        <f>608900+370000</f>
        <v>978900</v>
      </c>
      <c r="H80" s="90"/>
      <c r="I80" s="90"/>
      <c r="J80" s="90"/>
      <c r="K80" s="63">
        <f t="shared" si="8"/>
        <v>220400</v>
      </c>
      <c r="L80" s="89">
        <f>220400</f>
        <v>220400</v>
      </c>
      <c r="M80" s="89"/>
      <c r="N80" s="89"/>
      <c r="O80" s="90"/>
      <c r="P80" s="90">
        <f>L80</f>
        <v>220400</v>
      </c>
      <c r="Q80" s="63">
        <f>F80+K80</f>
        <v>1199300</v>
      </c>
      <c r="T80" s="14"/>
    </row>
    <row r="81" spans="1:20" s="6" customFormat="1" ht="55.2" customHeight="1">
      <c r="A81" s="73" t="s">
        <v>276</v>
      </c>
      <c r="B81" s="52" t="s">
        <v>347</v>
      </c>
      <c r="C81" s="73" t="s">
        <v>83</v>
      </c>
      <c r="D81" s="111" t="s">
        <v>137</v>
      </c>
      <c r="E81" s="117"/>
      <c r="F81" s="86">
        <f t="shared" si="14"/>
        <v>0</v>
      </c>
      <c r="G81" s="86"/>
      <c r="H81" s="87"/>
      <c r="I81" s="87"/>
      <c r="J81" s="87"/>
      <c r="K81" s="63">
        <f t="shared" si="8"/>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33307049</v>
      </c>
      <c r="G83" s="59">
        <f t="shared" ref="G83:P83" si="16">G84</f>
        <v>33307049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33952789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33307049</v>
      </c>
      <c r="G84" s="63">
        <f>G85+G86+G87+G88+G89+G90+G91+G92+G93+G94+G95+G104+G106+G107+G108+G109+G110+G111+G112+G113+G114+G115+G116+G117+G121+G120+G118+G119</f>
        <v>33307049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33952789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33344750</v>
      </c>
      <c r="G122" s="59">
        <f t="shared" ref="G122:P122" si="26">G123</f>
        <v>33344750</v>
      </c>
      <c r="H122" s="59">
        <f t="shared" si="26"/>
        <v>23793600</v>
      </c>
      <c r="I122" s="59">
        <f t="shared" si="26"/>
        <v>2036900</v>
      </c>
      <c r="J122" s="59">
        <f t="shared" si="26"/>
        <v>0</v>
      </c>
      <c r="K122" s="59">
        <f t="shared" si="26"/>
        <v>1152400</v>
      </c>
      <c r="L122" s="59">
        <f t="shared" si="26"/>
        <v>511400</v>
      </c>
      <c r="M122" s="59">
        <f t="shared" si="26"/>
        <v>641000</v>
      </c>
      <c r="N122" s="59">
        <f t="shared" si="26"/>
        <v>143500</v>
      </c>
      <c r="O122" s="59">
        <f t="shared" si="26"/>
        <v>0</v>
      </c>
      <c r="P122" s="59">
        <f t="shared" si="26"/>
        <v>511400</v>
      </c>
      <c r="Q122" s="59">
        <f>Q123</f>
        <v>34497150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33344750</v>
      </c>
      <c r="G123" s="63">
        <f t="shared" ref="G123:P123" si="27">SUM(G124:G134)</f>
        <v>33344750</v>
      </c>
      <c r="H123" s="63">
        <f t="shared" si="27"/>
        <v>23793600</v>
      </c>
      <c r="I123" s="63">
        <f t="shared" si="27"/>
        <v>2036900</v>
      </c>
      <c r="J123" s="63">
        <f t="shared" si="27"/>
        <v>0</v>
      </c>
      <c r="K123" s="63">
        <f t="shared" si="27"/>
        <v>1152400</v>
      </c>
      <c r="L123" s="63">
        <f t="shared" si="27"/>
        <v>511400</v>
      </c>
      <c r="M123" s="63">
        <f t="shared" si="27"/>
        <v>641000</v>
      </c>
      <c r="N123" s="63">
        <f t="shared" si="27"/>
        <v>143500</v>
      </c>
      <c r="O123" s="63">
        <f t="shared" si="27"/>
        <v>0</v>
      </c>
      <c r="P123" s="63">
        <f t="shared" si="27"/>
        <v>511400</v>
      </c>
      <c r="Q123" s="63">
        <f t="shared" ref="Q123:Q184" si="28">F123+K123</f>
        <v>34497150</v>
      </c>
      <c r="T123" s="42"/>
    </row>
    <row r="124" spans="1:20" s="18" customFormat="1" ht="85.5" customHeight="1">
      <c r="A124" s="52" t="s">
        <v>175</v>
      </c>
      <c r="B124" s="52" t="s">
        <v>326</v>
      </c>
      <c r="C124" s="52" t="s">
        <v>58</v>
      </c>
      <c r="D124" s="109" t="s">
        <v>534</v>
      </c>
      <c r="E124" s="83" t="s">
        <v>2</v>
      </c>
      <c r="F124" s="86">
        <f t="shared" ref="F124:F134" si="29">G124+J124</f>
        <v>1515100</v>
      </c>
      <c r="G124" s="86">
        <f>1505400+1200+8500</f>
        <v>1515100</v>
      </c>
      <c r="H124" s="87">
        <v>1185200</v>
      </c>
      <c r="I124" s="87">
        <v>24400</v>
      </c>
      <c r="J124" s="87"/>
      <c r="K124" s="86">
        <f t="shared" ref="K124:K134" si="30">M124+P124</f>
        <v>0</v>
      </c>
      <c r="L124" s="86"/>
      <c r="M124" s="87"/>
      <c r="N124" s="86"/>
      <c r="O124" s="87"/>
      <c r="P124" s="87">
        <f>L124</f>
        <v>0</v>
      </c>
      <c r="Q124" s="63">
        <f t="shared" si="28"/>
        <v>1515100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18184800</v>
      </c>
      <c r="G126" s="86">
        <f>17361700+22900+800200</f>
        <v>18184800</v>
      </c>
      <c r="H126" s="87">
        <f>13477300+656000</f>
        <v>14133300</v>
      </c>
      <c r="I126" s="87">
        <v>902900</v>
      </c>
      <c r="J126" s="87"/>
      <c r="K126" s="86">
        <f>M126+P126</f>
        <v>660000</v>
      </c>
      <c r="L126" s="86">
        <v>150000</v>
      </c>
      <c r="M126" s="87">
        <v>510000</v>
      </c>
      <c r="N126" s="86">
        <v>123000</v>
      </c>
      <c r="O126" s="87"/>
      <c r="P126" s="87">
        <f>L126</f>
        <v>150000</v>
      </c>
      <c r="Q126" s="63">
        <f>F126+K126</f>
        <v>18844800</v>
      </c>
      <c r="T126" s="16"/>
    </row>
    <row r="127" spans="1:20" s="18" customFormat="1" ht="37.200000000000003" customHeight="1">
      <c r="A127" s="52" t="s">
        <v>176</v>
      </c>
      <c r="B127" s="52" t="s">
        <v>389</v>
      </c>
      <c r="C127" s="52" t="s">
        <v>104</v>
      </c>
      <c r="D127" s="55" t="s">
        <v>177</v>
      </c>
      <c r="E127" s="83" t="s">
        <v>9</v>
      </c>
      <c r="F127" s="86">
        <f t="shared" si="29"/>
        <v>4554200</v>
      </c>
      <c r="G127" s="86">
        <f>38950+4281250+39000+195000</f>
        <v>4554200</v>
      </c>
      <c r="H127" s="87">
        <f>3106800+160000</f>
        <v>3266800</v>
      </c>
      <c r="I127" s="87">
        <v>442600</v>
      </c>
      <c r="J127" s="87"/>
      <c r="K127" s="86">
        <f t="shared" si="30"/>
        <v>88000</v>
      </c>
      <c r="L127" s="86">
        <f>49000+23000</f>
        <v>72000</v>
      </c>
      <c r="M127" s="86">
        <v>16000</v>
      </c>
      <c r="N127" s="87"/>
      <c r="O127" s="87"/>
      <c r="P127" s="87">
        <f>L127</f>
        <v>72000</v>
      </c>
      <c r="Q127" s="63">
        <f t="shared" si="28"/>
        <v>4642200</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2452300</v>
      </c>
      <c r="G129" s="86">
        <f>2200+2352100+98000</f>
        <v>2452300</v>
      </c>
      <c r="H129" s="87">
        <f>1681900+80000</f>
        <v>1761900</v>
      </c>
      <c r="I129" s="87">
        <v>288200</v>
      </c>
      <c r="J129" s="87"/>
      <c r="K129" s="86">
        <f t="shared" si="30"/>
        <v>78400</v>
      </c>
      <c r="L129" s="86">
        <v>33400</v>
      </c>
      <c r="M129" s="86">
        <v>45000</v>
      </c>
      <c r="N129" s="87">
        <v>2500</v>
      </c>
      <c r="O129" s="87"/>
      <c r="P129" s="87">
        <f>L129</f>
        <v>33400</v>
      </c>
      <c r="Q129" s="63">
        <f t="shared" si="28"/>
        <v>2530700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1438500</v>
      </c>
      <c r="G131" s="86">
        <f>883000+61000+400000+50000+45000-500</f>
        <v>1438500</v>
      </c>
      <c r="H131" s="87"/>
      <c r="I131" s="87"/>
      <c r="J131" s="87"/>
      <c r="K131" s="86">
        <f t="shared" si="30"/>
        <v>17000</v>
      </c>
      <c r="L131" s="86">
        <f>17000</f>
        <v>17000</v>
      </c>
      <c r="M131" s="87"/>
      <c r="N131" s="86"/>
      <c r="O131" s="87"/>
      <c r="P131" s="87">
        <f>L131</f>
        <v>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89000</v>
      </c>
      <c r="L134" s="89">
        <f>40000+34000+15000</f>
        <v>89000</v>
      </c>
      <c r="M134" s="89"/>
      <c r="N134" s="89"/>
      <c r="O134" s="90"/>
      <c r="P134" s="90">
        <f>L134</f>
        <v>89000</v>
      </c>
      <c r="Q134" s="63">
        <f>F134+K134</f>
        <v>231250</v>
      </c>
      <c r="T134" s="14"/>
    </row>
    <row r="135" spans="1:20" s="18" customFormat="1" ht="82.95" customHeight="1">
      <c r="A135" s="56" t="s">
        <v>146</v>
      </c>
      <c r="B135" s="56" t="s">
        <v>146</v>
      </c>
      <c r="C135" s="74"/>
      <c r="D135" s="84" t="s">
        <v>40</v>
      </c>
      <c r="E135" s="101"/>
      <c r="F135" s="59">
        <f>F136</f>
        <v>18817872</v>
      </c>
      <c r="G135" s="59">
        <f t="shared" ref="G135:P135" si="31">G136</f>
        <v>18817872</v>
      </c>
      <c r="H135" s="59">
        <f t="shared" si="31"/>
        <v>9083700</v>
      </c>
      <c r="I135" s="102">
        <f t="shared" si="31"/>
        <v>730800</v>
      </c>
      <c r="J135" s="59">
        <f t="shared" si="31"/>
        <v>0</v>
      </c>
      <c r="K135" s="59">
        <f t="shared" si="31"/>
        <v>1886499</v>
      </c>
      <c r="L135" s="59">
        <f t="shared" si="31"/>
        <v>1798499</v>
      </c>
      <c r="M135" s="59">
        <f t="shared" si="31"/>
        <v>88000</v>
      </c>
      <c r="N135" s="59">
        <f t="shared" si="31"/>
        <v>58000</v>
      </c>
      <c r="O135" s="59">
        <f t="shared" si="31"/>
        <v>0</v>
      </c>
      <c r="P135" s="59">
        <f t="shared" si="31"/>
        <v>1798499</v>
      </c>
      <c r="Q135" s="59">
        <f t="shared" si="28"/>
        <v>20704371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18817872</v>
      </c>
      <c r="G136" s="63">
        <f t="shared" si="32"/>
        <v>18817872</v>
      </c>
      <c r="H136" s="63">
        <f t="shared" si="32"/>
        <v>9083700</v>
      </c>
      <c r="I136" s="63">
        <f t="shared" si="32"/>
        <v>730800</v>
      </c>
      <c r="J136" s="63">
        <f t="shared" si="32"/>
        <v>0</v>
      </c>
      <c r="K136" s="63">
        <f t="shared" si="32"/>
        <v>1886499</v>
      </c>
      <c r="L136" s="63">
        <f>SUM(L137:L145)</f>
        <v>1798499</v>
      </c>
      <c r="M136" s="63">
        <f t="shared" si="32"/>
        <v>88000</v>
      </c>
      <c r="N136" s="63">
        <f t="shared" si="32"/>
        <v>58000</v>
      </c>
      <c r="O136" s="63">
        <f t="shared" si="32"/>
        <v>0</v>
      </c>
      <c r="P136" s="63">
        <f t="shared" si="32"/>
        <v>1798499</v>
      </c>
      <c r="Q136" s="63">
        <f t="shared" si="28"/>
        <v>20704371</v>
      </c>
      <c r="T136" s="16"/>
    </row>
    <row r="137" spans="1:20" s="18" customFormat="1" ht="85.2" customHeight="1">
      <c r="A137" s="52" t="s">
        <v>148</v>
      </c>
      <c r="B137" s="52" t="s">
        <v>326</v>
      </c>
      <c r="C137" s="52" t="s">
        <v>58</v>
      </c>
      <c r="D137" s="109" t="s">
        <v>534</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551500</v>
      </c>
      <c r="G140" s="86">
        <f>210000+15000+50000+48200+49000+130000+45000-15000+40000-18700-2000</f>
        <v>551500</v>
      </c>
      <c r="H140" s="87"/>
      <c r="I140" s="87"/>
      <c r="J140" s="87"/>
      <c r="K140" s="86">
        <f t="shared" si="34"/>
        <v>18700</v>
      </c>
      <c r="L140" s="86">
        <v>18700</v>
      </c>
      <c r="M140" s="87"/>
      <c r="N140" s="86"/>
      <c r="O140" s="87"/>
      <c r="P140" s="87">
        <f>L140</f>
        <v>18700</v>
      </c>
      <c r="Q140" s="63">
        <f t="shared" si="28"/>
        <v>570200</v>
      </c>
      <c r="T140" s="16"/>
    </row>
    <row r="141" spans="1:20" s="18" customFormat="1" ht="78.599999999999994" customHeight="1">
      <c r="A141" s="52" t="s">
        <v>464</v>
      </c>
      <c r="B141" s="52" t="s">
        <v>354</v>
      </c>
      <c r="C141" s="72" t="s">
        <v>74</v>
      </c>
      <c r="D141" s="122" t="s">
        <v>89</v>
      </c>
      <c r="E141" s="83"/>
      <c r="F141" s="95">
        <f t="shared" si="33"/>
        <v>8680800</v>
      </c>
      <c r="G141" s="95">
        <f>2400+8151100+111800+450000-30000-1500-3000</f>
        <v>8680800</v>
      </c>
      <c r="H141" s="96">
        <f>5881800+370000</f>
        <v>6251800</v>
      </c>
      <c r="I141" s="96">
        <v>531100</v>
      </c>
      <c r="J141" s="87"/>
      <c r="K141" s="86">
        <f t="shared" si="34"/>
        <v>0</v>
      </c>
      <c r="L141" s="86"/>
      <c r="M141" s="87"/>
      <c r="N141" s="86"/>
      <c r="O141" s="87"/>
      <c r="P141" s="87"/>
      <c r="Q141" s="99">
        <f t="shared" si="28"/>
        <v>8680800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5467972</v>
      </c>
      <c r="G143" s="86">
        <f>47100+3680000+24649+99999+99000+397124+399500+409000+300000+11600</f>
        <v>5467972</v>
      </c>
      <c r="H143" s="87">
        <v>1790000</v>
      </c>
      <c r="I143" s="87">
        <v>175000</v>
      </c>
      <c r="J143" s="87"/>
      <c r="K143" s="86">
        <f t="shared" si="34"/>
        <v>1847799</v>
      </c>
      <c r="L143" s="86">
        <f>434800+99999+25000+1200000</f>
        <v>1759799</v>
      </c>
      <c r="M143" s="87">
        <v>88000</v>
      </c>
      <c r="N143" s="86">
        <v>58000</v>
      </c>
      <c r="O143" s="87"/>
      <c r="P143" s="87">
        <f>L143</f>
        <v>1759799</v>
      </c>
      <c r="Q143" s="63">
        <f>F143+K143</f>
        <v>7315771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55197306.879999995</v>
      </c>
      <c r="G146" s="59">
        <f>G147</f>
        <v>39871851.879999995</v>
      </c>
      <c r="H146" s="59">
        <f>H147</f>
        <v>4000000</v>
      </c>
      <c r="I146" s="59">
        <f>I147</f>
        <v>6627300</v>
      </c>
      <c r="J146" s="59">
        <f t="shared" ref="J146:P146" si="35">J147</f>
        <v>15325455</v>
      </c>
      <c r="K146" s="59">
        <f t="shared" si="35"/>
        <v>61942586.139999993</v>
      </c>
      <c r="L146" s="59">
        <f t="shared" si="35"/>
        <v>60741656</v>
      </c>
      <c r="M146" s="59">
        <f t="shared" si="35"/>
        <v>1130930.1399999999</v>
      </c>
      <c r="N146" s="59">
        <f t="shared" si="35"/>
        <v>0</v>
      </c>
      <c r="O146" s="59">
        <f t="shared" si="35"/>
        <v>0</v>
      </c>
      <c r="P146" s="59">
        <f t="shared" si="35"/>
        <v>60811656</v>
      </c>
      <c r="Q146" s="59">
        <f t="shared" si="28"/>
        <v>117139893.01999998</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55197306.879999995</v>
      </c>
      <c r="G147" s="106">
        <f t="shared" si="36"/>
        <v>39871851.879999995</v>
      </c>
      <c r="H147" s="106">
        <f t="shared" si="36"/>
        <v>4000000</v>
      </c>
      <c r="I147" s="106">
        <f t="shared" si="36"/>
        <v>6627300</v>
      </c>
      <c r="J147" s="106">
        <f t="shared" si="36"/>
        <v>15325455</v>
      </c>
      <c r="K147" s="106">
        <f>SUM(K148:K183)+K184</f>
        <v>61942586.139999993</v>
      </c>
      <c r="L147" s="106">
        <f>SUM(L148:L183)+L184</f>
        <v>60741656</v>
      </c>
      <c r="M147" s="106">
        <f t="shared" si="36"/>
        <v>1130930.1399999999</v>
      </c>
      <c r="N147" s="106">
        <f t="shared" si="36"/>
        <v>0</v>
      </c>
      <c r="O147" s="106">
        <f t="shared" si="36"/>
        <v>0</v>
      </c>
      <c r="P147" s="106">
        <f>SUM(P148:P183)+P184</f>
        <v>60811656</v>
      </c>
      <c r="Q147" s="63">
        <f t="shared" si="28"/>
        <v>117139893.01999998</v>
      </c>
      <c r="T147" s="20"/>
    </row>
    <row r="148" spans="1:20" s="6" customFormat="1" ht="84" customHeight="1">
      <c r="A148" s="52" t="s">
        <v>184</v>
      </c>
      <c r="B148" s="52" t="s">
        <v>326</v>
      </c>
      <c r="C148" s="52" t="s">
        <v>58</v>
      </c>
      <c r="D148" s="109" t="s">
        <v>475</v>
      </c>
      <c r="E148" s="83" t="s">
        <v>2</v>
      </c>
      <c r="F148" s="86">
        <f t="shared" ref="F148:F184" si="37">G148+J148</f>
        <v>5184300</v>
      </c>
      <c r="G148" s="86">
        <f>4885300+250000+49000</f>
        <v>5184300</v>
      </c>
      <c r="H148" s="87">
        <f>3800000+200000</f>
        <v>4000000</v>
      </c>
      <c r="I148" s="87">
        <f>168300+49000</f>
        <v>217300</v>
      </c>
      <c r="J148" s="87"/>
      <c r="K148" s="86">
        <f t="shared" ref="K148:K184" si="38">M148+P148</f>
        <v>1720000</v>
      </c>
      <c r="L148" s="86">
        <f>1500000</f>
        <v>1500000</v>
      </c>
      <c r="M148" s="96">
        <v>150000</v>
      </c>
      <c r="N148" s="86"/>
      <c r="O148" s="87"/>
      <c r="P148" s="87">
        <f>70000+1500000</f>
        <v>1570000</v>
      </c>
      <c r="Q148" s="63">
        <f t="shared" si="28"/>
        <v>6904300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2620000</v>
      </c>
      <c r="G159" s="86"/>
      <c r="H159" s="87"/>
      <c r="I159" s="87"/>
      <c r="J159" s="87">
        <f>400000+1200000+1020000</f>
        <v>2620000</v>
      </c>
      <c r="K159" s="86">
        <f t="shared" si="38"/>
        <v>0</v>
      </c>
      <c r="L159" s="86"/>
      <c r="M159" s="87"/>
      <c r="N159" s="86"/>
      <c r="O159" s="87"/>
      <c r="P159" s="87">
        <f>L159</f>
        <v>0</v>
      </c>
      <c r="Q159" s="63">
        <f t="shared" si="28"/>
        <v>2620000</v>
      </c>
      <c r="T159" s="14"/>
    </row>
    <row r="160" spans="1:20" s="6" customFormat="1" ht="51" customHeight="1">
      <c r="A160" s="52" t="s">
        <v>186</v>
      </c>
      <c r="B160" s="52" t="s">
        <v>404</v>
      </c>
      <c r="C160" s="52" t="s">
        <v>65</v>
      </c>
      <c r="D160" s="55" t="s">
        <v>187</v>
      </c>
      <c r="E160" s="83" t="s">
        <v>45</v>
      </c>
      <c r="F160" s="86">
        <f t="shared" si="37"/>
        <v>29577411.879999999</v>
      </c>
      <c r="G160" s="86">
        <f>16258500+49000-54500+95000+99000+99999+99999+73900+400000+400000+49000+90000+219922.98+280077.02+26513.88+49000+49000-49000+49000+98000-100000</f>
        <v>18282411.879999999</v>
      </c>
      <c r="H160" s="87"/>
      <c r="I160" s="87">
        <v>6410000</v>
      </c>
      <c r="J160" s="87">
        <v>11295000</v>
      </c>
      <c r="K160" s="86">
        <f t="shared" si="38"/>
        <v>103486.12</v>
      </c>
      <c r="L160" s="86">
        <v>100000</v>
      </c>
      <c r="M160" s="87">
        <f>3486.12</f>
        <v>3486.12</v>
      </c>
      <c r="N160" s="86"/>
      <c r="O160" s="87"/>
      <c r="P160" s="87">
        <f>L160</f>
        <v>100000</v>
      </c>
      <c r="Q160" s="63">
        <f t="shared" si="28"/>
        <v>29680898</v>
      </c>
      <c r="T160" s="14"/>
    </row>
    <row r="161" spans="1:20" s="18" customFormat="1" ht="41.4" customHeight="1">
      <c r="A161" s="76">
        <v>1217130</v>
      </c>
      <c r="B161" s="52" t="s">
        <v>344</v>
      </c>
      <c r="C161" s="52" t="s">
        <v>67</v>
      </c>
      <c r="D161" s="126" t="s">
        <v>112</v>
      </c>
      <c r="E161" s="115"/>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27622082</v>
      </c>
      <c r="L167" s="86">
        <f>900807+1434557+4255139+525050+11242591+5516938+3000000+550000+50000+98000+49000</f>
        <v>27622082</v>
      </c>
      <c r="M167" s="87"/>
      <c r="N167" s="86"/>
      <c r="O167" s="87"/>
      <c r="P167" s="87">
        <f>L167</f>
        <v>27622082</v>
      </c>
      <c r="Q167" s="63">
        <f t="shared" si="28"/>
        <v>27622082</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7" t="s">
        <v>257</v>
      </c>
      <c r="E175" s="83"/>
      <c r="F175" s="86">
        <f t="shared" si="37"/>
        <v>14750000</v>
      </c>
      <c r="G175" s="86">
        <v>14750000</v>
      </c>
      <c r="H175" s="87"/>
      <c r="I175" s="87"/>
      <c r="J175" s="87"/>
      <c r="K175" s="86">
        <f t="shared" si="38"/>
        <v>15867908.869999999</v>
      </c>
      <c r="L175" s="86">
        <f>15857591</f>
        <v>15857591</v>
      </c>
      <c r="M175" s="87">
        <f>8898.19+1419.68</f>
        <v>10317.870000000001</v>
      </c>
      <c r="N175" s="86"/>
      <c r="O175" s="87"/>
      <c r="P175" s="87">
        <f>L175</f>
        <v>15857591</v>
      </c>
      <c r="Q175" s="63">
        <f t="shared" si="28"/>
        <v>30617908.869999997</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360455</v>
      </c>
      <c r="G179" s="86"/>
      <c r="H179" s="87"/>
      <c r="I179" s="87"/>
      <c r="J179" s="87">
        <f>110455+61838+188162</f>
        <v>360455</v>
      </c>
      <c r="K179" s="86">
        <v>0</v>
      </c>
      <c r="L179" s="86"/>
      <c r="M179" s="87"/>
      <c r="N179" s="86"/>
      <c r="O179" s="87"/>
      <c r="P179" s="87"/>
      <c r="Q179" s="63">
        <f>F179+K179</f>
        <v>360455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5013800</v>
      </c>
      <c r="G185" s="59">
        <f t="shared" ref="G185:P185" si="40">G186</f>
        <v>5013800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5164645.29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5013800</v>
      </c>
      <c r="G186" s="63">
        <f t="shared" ref="G186:P186" si="41">SUM(G187:G193)</f>
        <v>5013800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5164645.29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95000</v>
      </c>
      <c r="G188" s="86">
        <f>40000+30000+25000</f>
        <v>95000</v>
      </c>
      <c r="H188" s="87"/>
      <c r="I188" s="87"/>
      <c r="J188" s="87"/>
      <c r="K188" s="86">
        <f t="shared" si="43"/>
        <v>0</v>
      </c>
      <c r="L188" s="86"/>
      <c r="M188" s="87"/>
      <c r="N188" s="86"/>
      <c r="O188" s="87"/>
      <c r="P188" s="87"/>
      <c r="Q188" s="63">
        <f t="shared" si="42"/>
        <v>95000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11040749.24</v>
      </c>
      <c r="G194" s="102">
        <f t="shared" ref="G194:P194" si="44">G195</f>
        <v>6270345</v>
      </c>
      <c r="H194" s="59">
        <f t="shared" si="44"/>
        <v>4525700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11090749.24</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11040749.24</v>
      </c>
      <c r="G195" s="99">
        <f>SUM(G196:G202)+G203</f>
        <v>6270345</v>
      </c>
      <c r="H195" s="99">
        <f t="shared" ref="H195:P195" si="45">SUM(H196:H202)</f>
        <v>4525700</v>
      </c>
      <c r="I195" s="99">
        <f t="shared" si="45"/>
        <v>81000</v>
      </c>
      <c r="J195" s="99">
        <f t="shared" si="45"/>
        <v>0</v>
      </c>
      <c r="K195" s="99">
        <f t="shared" si="45"/>
        <v>50000</v>
      </c>
      <c r="L195" s="99">
        <f t="shared" si="45"/>
        <v>50000</v>
      </c>
      <c r="M195" s="99">
        <f t="shared" si="45"/>
        <v>0</v>
      </c>
      <c r="N195" s="99">
        <f t="shared" si="45"/>
        <v>0</v>
      </c>
      <c r="O195" s="99">
        <f t="shared" si="45"/>
        <v>0</v>
      </c>
      <c r="P195" s="99">
        <f t="shared" si="45"/>
        <v>50000</v>
      </c>
      <c r="Q195" s="63">
        <f t="shared" si="42"/>
        <v>11090749.24</v>
      </c>
      <c r="R195" s="9"/>
      <c r="T195" s="16"/>
    </row>
    <row r="196" spans="1:20" s="6" customFormat="1" ht="74.400000000000006" customHeight="1">
      <c r="A196" s="52" t="s">
        <v>196</v>
      </c>
      <c r="B196" s="52" t="s">
        <v>326</v>
      </c>
      <c r="C196" s="52" t="s">
        <v>58</v>
      </c>
      <c r="D196" s="109" t="s">
        <v>476</v>
      </c>
      <c r="E196" s="83" t="s">
        <v>2</v>
      </c>
      <c r="F196" s="86">
        <f>G196+J196</f>
        <v>5916000</v>
      </c>
      <c r="G196" s="86">
        <f>5463000+3000+450000</f>
        <v>5916000</v>
      </c>
      <c r="H196" s="87">
        <f>4155700+370000</f>
        <v>4525700</v>
      </c>
      <c r="I196" s="87">
        <v>81000</v>
      </c>
      <c r="J196" s="87"/>
      <c r="K196" s="86">
        <f t="shared" ref="K196:K203" si="46">M196+P196</f>
        <v>20000</v>
      </c>
      <c r="L196" s="86">
        <f>20000</f>
        <v>20000</v>
      </c>
      <c r="M196" s="87"/>
      <c r="N196" s="86"/>
      <c r="O196" s="87"/>
      <c r="P196" s="87">
        <f>L196</f>
        <v>20000</v>
      </c>
      <c r="Q196" s="63">
        <f t="shared" si="42"/>
        <v>5936000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8686721.24+3866211-36-2058037-24649-44400-3810018-49000-49000+500-30000-46900-52250-25000-120000-550000-212138-98000-49000-98000-45000-400000-10000-11600</f>
        <v>4770404.24</v>
      </c>
      <c r="G201" s="86"/>
      <c r="H201" s="87"/>
      <c r="I201" s="87"/>
      <c r="J201" s="87"/>
      <c r="K201" s="86">
        <f t="shared" si="46"/>
        <v>0</v>
      </c>
      <c r="L201" s="86"/>
      <c r="M201" s="87"/>
      <c r="N201" s="86"/>
      <c r="O201" s="87"/>
      <c r="P201" s="87"/>
      <c r="Q201" s="63">
        <f>F201+K201</f>
        <v>4770404.24</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f>
        <v>50000</v>
      </c>
      <c r="G203" s="86">
        <v>50000</v>
      </c>
      <c r="H203" s="87"/>
      <c r="I203" s="87"/>
      <c r="J203" s="87"/>
      <c r="K203" s="86">
        <f t="shared" si="46"/>
        <v>0</v>
      </c>
      <c r="L203" s="86"/>
      <c r="M203" s="87"/>
      <c r="N203" s="86"/>
      <c r="O203" s="87"/>
      <c r="P203" s="87"/>
      <c r="Q203" s="63">
        <f t="shared" si="47"/>
        <v>50000</v>
      </c>
      <c r="T203" s="14"/>
    </row>
    <row r="204" spans="1:20" s="9" customFormat="1" ht="68.400000000000006" customHeight="1">
      <c r="A204" s="82"/>
      <c r="B204" s="82"/>
      <c r="C204" s="82"/>
      <c r="D204" s="98" t="s">
        <v>197</v>
      </c>
      <c r="E204" s="82" t="s">
        <v>12</v>
      </c>
      <c r="F204" s="63">
        <f>F11+F48+F122+F135+F146+F194+F83+F185</f>
        <v>477861488.52999997</v>
      </c>
      <c r="G204" s="63">
        <f>G11+G48+G122+G135+G146+G194+G83+G185</f>
        <v>456840519.28999996</v>
      </c>
      <c r="H204" s="63">
        <f>H11+H48+H122+H135+H146+H194+H83+H185</f>
        <v>266963239.20999995</v>
      </c>
      <c r="I204" s="63">
        <f>I11+I48+I122+I135+I146+I194+I83+I185</f>
        <v>32054580</v>
      </c>
      <c r="J204" s="63">
        <f>J11+J48+J122+J135+J146+J194+J83</f>
        <v>16250565</v>
      </c>
      <c r="K204" s="63">
        <f>M204+P204</f>
        <v>95352384.870000005</v>
      </c>
      <c r="L204" s="63">
        <f>L11+L48+L122+L135+L146+L194+L83+L185</f>
        <v>84221169.439999998</v>
      </c>
      <c r="M204" s="63">
        <f>M11+M48+M122+M135+M146+M194+M83+M185</f>
        <v>11061215.43</v>
      </c>
      <c r="N204" s="63">
        <f>N11+N48+N122+N135+N146+N194+N83</f>
        <v>529890</v>
      </c>
      <c r="O204" s="63">
        <f>O11+O48+O122+O135+O146+O194+O83</f>
        <v>335000</v>
      </c>
      <c r="P204" s="63">
        <f>P11+P48+P122+P135+P146+P194+P83+P185</f>
        <v>84291169.439999998</v>
      </c>
      <c r="Q204" s="63">
        <f t="shared" si="42"/>
        <v>573213873.39999998</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34" t="s">
        <v>551</v>
      </c>
      <c r="N209" s="134"/>
      <c r="O209" s="134"/>
      <c r="P209" s="45"/>
      <c r="Q209" s="45"/>
      <c r="R209" s="47"/>
      <c r="S209" s="48"/>
      <c r="T209" s="10"/>
    </row>
    <row r="210" spans="1:20" s="9" customFormat="1" ht="57" customHeight="1">
      <c r="A210" s="152"/>
      <c r="B210" s="152"/>
      <c r="C210" s="152"/>
      <c r="D210" s="152"/>
      <c r="E210" s="152"/>
      <c r="F210" s="152"/>
      <c r="G210" s="152"/>
      <c r="H210" s="152"/>
      <c r="I210" s="152"/>
      <c r="J210" s="152"/>
      <c r="K210" s="152"/>
      <c r="L210" s="152"/>
      <c r="M210" s="152"/>
      <c r="N210" s="152"/>
      <c r="O210" s="152"/>
      <c r="P210" s="152"/>
      <c r="Q210" s="152"/>
      <c r="T210" s="10"/>
    </row>
    <row r="211" spans="1:20" s="21" customFormat="1" ht="21.75" customHeight="1">
      <c r="A211" s="152"/>
      <c r="B211" s="152"/>
      <c r="C211" s="152"/>
      <c r="D211" s="152"/>
      <c r="E211" s="152"/>
      <c r="F211" s="152"/>
      <c r="G211" s="152"/>
      <c r="H211" s="152"/>
      <c r="I211" s="152"/>
      <c r="J211" s="152"/>
      <c r="K211" s="152"/>
      <c r="L211" s="152"/>
      <c r="M211" s="152"/>
      <c r="N211" s="152"/>
      <c r="O211" s="152"/>
      <c r="P211" s="152"/>
      <c r="Q211" s="152"/>
      <c r="T211" s="22"/>
    </row>
    <row r="214" spans="1:20" ht="24.75" customHeight="1">
      <c r="Q214" s="50"/>
    </row>
  </sheetData>
  <mergeCells count="31">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2021-03-01T09:36:27Z</cp:lastPrinted>
  <dcterms:created xsi:type="dcterms:W3CDTF">2002-10-09T16:25:59Z</dcterms:created>
  <dcterms:modified xsi:type="dcterms:W3CDTF">2021-03-31T06:07:28Z</dcterms:modified>
</cp:coreProperties>
</file>