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codeName="ThisWorkbook" defaultThemeVersion="124226"/>
  <mc:AlternateContent xmlns:mc="http://schemas.openxmlformats.org/markup-compatibility/2006">
    <mc:Choice Requires="x15">
      <x15ac:absPath xmlns:x15ac="http://schemas.microsoft.com/office/spreadsheetml/2010/11/ac" url="C:\Users\VNMR-65-02\Desktop\рип\"/>
    </mc:Choice>
  </mc:AlternateContent>
  <xr:revisionPtr revIDLastSave="0" documentId="8_{0CFFDC33-A287-45AB-9D18-20667CAB08D3}" xr6:coauthVersionLast="37" xr6:coauthVersionMax="37" xr10:uidLastSave="{00000000-0000-0000-0000-000000000000}"/>
  <bookViews>
    <workbookView xWindow="0" yWindow="0" windowWidth="28800" windowHeight="12225" tabRatio="597" xr2:uid="{00000000-000D-0000-FFFF-FFFF00000000}"/>
  </bookViews>
  <sheets>
    <sheet name="дод 3" sheetId="4" r:id="rId1"/>
  </sheets>
  <definedNames>
    <definedName name="_xlnm._FilterDatabase" localSheetId="0" hidden="1">'дод 3'!$E$1:$Q$175</definedName>
    <definedName name="_xlnm.Print_Titles" localSheetId="0">'дод 3'!$6:$10</definedName>
    <definedName name="_xlnm.Print_Area" localSheetId="0">'дод 3'!$A$1:$Q$174</definedName>
  </definedNames>
  <calcPr calcId="179021"/>
</workbook>
</file>

<file path=xl/calcChain.xml><?xml version="1.0" encoding="utf-8"?>
<calcChain xmlns="http://schemas.openxmlformats.org/spreadsheetml/2006/main">
  <c r="G146" i="4" l="1"/>
  <c r="P17" i="4"/>
  <c r="G17" i="4"/>
  <c r="H65" i="4"/>
  <c r="G65" i="4"/>
  <c r="H64" i="4"/>
  <c r="G64" i="4"/>
  <c r="H60" i="4"/>
  <c r="G60" i="4"/>
  <c r="H58" i="4"/>
  <c r="G58" i="4"/>
  <c r="L15" i="4"/>
  <c r="P15" i="4" s="1"/>
  <c r="K15" i="4" s="1"/>
  <c r="G15" i="4"/>
  <c r="G158" i="4"/>
  <c r="F170" i="4"/>
  <c r="Q170" i="4" s="1"/>
  <c r="Q72" i="4"/>
  <c r="M55" i="4"/>
  <c r="K72" i="4"/>
  <c r="G133" i="4"/>
  <c r="G71" i="4"/>
  <c r="G40" i="4"/>
  <c r="J165" i="4"/>
  <c r="J164" i="4" s="1"/>
  <c r="F168" i="4"/>
  <c r="J154" i="4"/>
  <c r="J146" i="4"/>
  <c r="G113" i="4"/>
  <c r="G82" i="4"/>
  <c r="G81" i="4"/>
  <c r="H63" i="4"/>
  <c r="G63" i="4"/>
  <c r="G55" i="4" s="1"/>
  <c r="F55" i="4" s="1"/>
  <c r="P44" i="4"/>
  <c r="L44" i="4"/>
  <c r="L62" i="4"/>
  <c r="G86" i="4"/>
  <c r="G167" i="4"/>
  <c r="P69" i="4"/>
  <c r="L69" i="4"/>
  <c r="G69" i="4"/>
  <c r="L60" i="4"/>
  <c r="P60" i="4" s="1"/>
  <c r="K60" i="4" s="1"/>
  <c r="Q49" i="4"/>
  <c r="P49" i="4"/>
  <c r="K49" i="4" s="1"/>
  <c r="L149" i="4"/>
  <c r="L73" i="4"/>
  <c r="P73" i="4" s="1"/>
  <c r="L160" i="4"/>
  <c r="P160" i="4" s="1"/>
  <c r="K160" i="4" s="1"/>
  <c r="Q160" i="4" s="1"/>
  <c r="L152" i="4"/>
  <c r="L156" i="4"/>
  <c r="L155" i="4"/>
  <c r="L17" i="4"/>
  <c r="P43" i="4"/>
  <c r="K43" i="4" s="1"/>
  <c r="F43" i="4"/>
  <c r="P22" i="4"/>
  <c r="K22" i="4" s="1"/>
  <c r="Q22" i="4" s="1"/>
  <c r="P20" i="4"/>
  <c r="L131" i="4"/>
  <c r="P131" i="4" s="1"/>
  <c r="P118" i="4"/>
  <c r="K118" i="4"/>
  <c r="Q118" i="4"/>
  <c r="G160" i="4"/>
  <c r="J147" i="4"/>
  <c r="G147" i="4"/>
  <c r="F60" i="4"/>
  <c r="Q60" i="4" s="1"/>
  <c r="F158" i="4"/>
  <c r="F40" i="4"/>
  <c r="Q40" i="4" s="1"/>
  <c r="G14" i="4"/>
  <c r="F14" i="4"/>
  <c r="G22" i="4"/>
  <c r="F22" i="4" s="1"/>
  <c r="G132" i="4"/>
  <c r="F132" i="4"/>
  <c r="Q132" i="4" s="1"/>
  <c r="G134" i="4"/>
  <c r="G131" i="4"/>
  <c r="G121" i="4"/>
  <c r="F121" i="4" s="1"/>
  <c r="Q121" i="4" s="1"/>
  <c r="G122" i="4"/>
  <c r="G87" i="4"/>
  <c r="G111" i="4"/>
  <c r="F111" i="4" s="1"/>
  <c r="F64" i="4"/>
  <c r="G171" i="4"/>
  <c r="G80" i="4"/>
  <c r="F80" i="4"/>
  <c r="Q80" i="4"/>
  <c r="H107" i="4"/>
  <c r="G107" i="4"/>
  <c r="F107" i="4"/>
  <c r="G20" i="4"/>
  <c r="H124" i="4"/>
  <c r="G124" i="4"/>
  <c r="H123" i="4"/>
  <c r="G123" i="4"/>
  <c r="H122" i="4"/>
  <c r="F122" i="4"/>
  <c r="H121" i="4"/>
  <c r="H120" i="4"/>
  <c r="G120" i="4"/>
  <c r="H118" i="4"/>
  <c r="G118" i="4"/>
  <c r="G129" i="4"/>
  <c r="H71" i="4"/>
  <c r="H66" i="4"/>
  <c r="G66" i="4"/>
  <c r="F66" i="4" s="1"/>
  <c r="Q66" i="4" s="1"/>
  <c r="H56" i="4"/>
  <c r="G56" i="4"/>
  <c r="G18" i="4"/>
  <c r="P163" i="4"/>
  <c r="K163" i="4"/>
  <c r="L163" i="4"/>
  <c r="G105" i="4"/>
  <c r="F105" i="4"/>
  <c r="G97" i="4"/>
  <c r="G96" i="4"/>
  <c r="G92" i="4"/>
  <c r="G89" i="4"/>
  <c r="F89" i="4" s="1"/>
  <c r="F82" i="4"/>
  <c r="K13" i="4"/>
  <c r="K14" i="4"/>
  <c r="Q14" i="4" s="1"/>
  <c r="K16" i="4"/>
  <c r="M17" i="4"/>
  <c r="K17" i="4"/>
  <c r="Q17" i="4" s="1"/>
  <c r="K18" i="4"/>
  <c r="K19" i="4"/>
  <c r="K20" i="4"/>
  <c r="K21" i="4"/>
  <c r="K23" i="4"/>
  <c r="K24" i="4"/>
  <c r="K25" i="4"/>
  <c r="K26" i="4"/>
  <c r="K27" i="4"/>
  <c r="K28" i="4"/>
  <c r="K29" i="4"/>
  <c r="K30" i="4"/>
  <c r="K31" i="4"/>
  <c r="K32" i="4"/>
  <c r="K33" i="4"/>
  <c r="K34" i="4"/>
  <c r="K35" i="4"/>
  <c r="Q35" i="4"/>
  <c r="K36" i="4"/>
  <c r="K37" i="4"/>
  <c r="P38" i="4"/>
  <c r="K38" i="4"/>
  <c r="L39" i="4"/>
  <c r="P39" i="4" s="1"/>
  <c r="K39" i="4" s="1"/>
  <c r="Q39" i="4"/>
  <c r="K40" i="4"/>
  <c r="K41" i="4"/>
  <c r="K42" i="4"/>
  <c r="K44" i="4"/>
  <c r="K45" i="4"/>
  <c r="P46" i="4"/>
  <c r="K46" i="4"/>
  <c r="Q46" i="4"/>
  <c r="K47" i="4"/>
  <c r="K48" i="4"/>
  <c r="K50" i="4"/>
  <c r="Q50" i="4" s="1"/>
  <c r="K51" i="4"/>
  <c r="K52" i="4"/>
  <c r="K53" i="4"/>
  <c r="G13" i="4"/>
  <c r="G21" i="4"/>
  <c r="G27" i="4"/>
  <c r="G33" i="4"/>
  <c r="G36" i="4"/>
  <c r="F36" i="4" s="1"/>
  <c r="Q36" i="4" s="1"/>
  <c r="G38" i="4"/>
  <c r="G39" i="4"/>
  <c r="F39" i="4" s="1"/>
  <c r="G42" i="4"/>
  <c r="G51" i="4"/>
  <c r="F51" i="4"/>
  <c r="Q51" i="4"/>
  <c r="L151" i="4"/>
  <c r="P151" i="4" s="1"/>
  <c r="K151" i="4" s="1"/>
  <c r="Q151" i="4" s="1"/>
  <c r="L146" i="4"/>
  <c r="P122" i="4"/>
  <c r="L122" i="4"/>
  <c r="P156" i="4"/>
  <c r="K156" i="4" s="1"/>
  <c r="F156" i="4"/>
  <c r="Q156" i="4" s="1"/>
  <c r="G79" i="4"/>
  <c r="F79" i="4" s="1"/>
  <c r="Q79" i="4" s="1"/>
  <c r="K56" i="4"/>
  <c r="K57" i="4"/>
  <c r="K58" i="4"/>
  <c r="P59" i="4"/>
  <c r="K59" i="4"/>
  <c r="K61" i="4"/>
  <c r="F62" i="4"/>
  <c r="K63" i="4"/>
  <c r="K64" i="4"/>
  <c r="Q64" i="4" s="1"/>
  <c r="K65" i="4"/>
  <c r="K68" i="4"/>
  <c r="K69" i="4"/>
  <c r="K70" i="4"/>
  <c r="K71" i="4"/>
  <c r="L74" i="4"/>
  <c r="P74" i="4"/>
  <c r="K74" i="4" s="1"/>
  <c r="K75" i="4"/>
  <c r="L76" i="4"/>
  <c r="P76" i="4" s="1"/>
  <c r="K76" i="4" s="1"/>
  <c r="H61" i="4"/>
  <c r="H55" i="4" s="1"/>
  <c r="H54" i="4" s="1"/>
  <c r="H69" i="4"/>
  <c r="F59" i="4"/>
  <c r="Q59" i="4" s="1"/>
  <c r="L150" i="4"/>
  <c r="P150" i="4"/>
  <c r="K150" i="4"/>
  <c r="P148" i="4"/>
  <c r="P142" i="4"/>
  <c r="H129" i="4"/>
  <c r="G125" i="4"/>
  <c r="J137" i="4"/>
  <c r="J136" i="4"/>
  <c r="G110" i="4"/>
  <c r="G88" i="4"/>
  <c r="F131" i="4"/>
  <c r="M162" i="4"/>
  <c r="M158" i="4"/>
  <c r="K158" i="4" s="1"/>
  <c r="Q158" i="4" s="1"/>
  <c r="P146" i="4"/>
  <c r="K146" i="4" s="1"/>
  <c r="P155" i="4"/>
  <c r="K155" i="4" s="1"/>
  <c r="Q155" i="4" s="1"/>
  <c r="P149" i="4"/>
  <c r="K149" i="4"/>
  <c r="G103" i="4"/>
  <c r="G99" i="4"/>
  <c r="F99" i="4"/>
  <c r="Q99" i="4" s="1"/>
  <c r="F97" i="4"/>
  <c r="L125" i="4"/>
  <c r="P125" i="4" s="1"/>
  <c r="K125" i="4" s="1"/>
  <c r="P134" i="4"/>
  <c r="L134" i="4"/>
  <c r="P120" i="4"/>
  <c r="L120" i="4"/>
  <c r="L117" i="4"/>
  <c r="L116" i="4" s="1"/>
  <c r="P159" i="4"/>
  <c r="L159" i="4"/>
  <c r="P121" i="4"/>
  <c r="K121" i="4" s="1"/>
  <c r="L121" i="4"/>
  <c r="G142" i="4"/>
  <c r="F142" i="4"/>
  <c r="F70" i="4"/>
  <c r="Q67" i="4" s="1"/>
  <c r="I66" i="4"/>
  <c r="I55" i="4"/>
  <c r="I54" i="4" s="1"/>
  <c r="F69" i="4"/>
  <c r="Q69" i="4"/>
  <c r="B165" i="4"/>
  <c r="L126" i="4"/>
  <c r="P126" i="4" s="1"/>
  <c r="P117" i="4" s="1"/>
  <c r="P116" i="4"/>
  <c r="L157" i="4"/>
  <c r="P157" i="4" s="1"/>
  <c r="K157" i="4" s="1"/>
  <c r="Q157" i="4"/>
  <c r="L145" i="4"/>
  <c r="P145" i="4"/>
  <c r="K145" i="4" s="1"/>
  <c r="L153" i="4"/>
  <c r="P153" i="4"/>
  <c r="K153" i="4"/>
  <c r="M117" i="4"/>
  <c r="N117" i="4"/>
  <c r="O117" i="4"/>
  <c r="O116" i="4" s="1"/>
  <c r="O173" i="4" s="1"/>
  <c r="G139" i="4"/>
  <c r="I138" i="4"/>
  <c r="I137" i="4"/>
  <c r="I121" i="4"/>
  <c r="I117" i="4" s="1"/>
  <c r="I116" i="4" s="1"/>
  <c r="I118" i="4"/>
  <c r="I108" i="4"/>
  <c r="I107" i="4"/>
  <c r="I79" i="4"/>
  <c r="I78" i="4" s="1"/>
  <c r="I77" i="4" s="1"/>
  <c r="F75" i="4"/>
  <c r="Q75" i="4" s="1"/>
  <c r="J55" i="4"/>
  <c r="J54" i="4" s="1"/>
  <c r="N55" i="4"/>
  <c r="O55" i="4"/>
  <c r="H165" i="4"/>
  <c r="H164" i="4" s="1"/>
  <c r="I165" i="4"/>
  <c r="L165" i="4"/>
  <c r="M165" i="4"/>
  <c r="M164" i="4" s="1"/>
  <c r="N165" i="4"/>
  <c r="O165" i="4"/>
  <c r="O164" i="4" s="1"/>
  <c r="P165" i="4"/>
  <c r="P164" i="4" s="1"/>
  <c r="H137" i="4"/>
  <c r="H136" i="4" s="1"/>
  <c r="N137" i="4"/>
  <c r="O137" i="4"/>
  <c r="O136" i="4" s="1"/>
  <c r="K169" i="4"/>
  <c r="G169" i="4"/>
  <c r="G165" i="4"/>
  <c r="G164" i="4"/>
  <c r="H128" i="4"/>
  <c r="I128" i="4"/>
  <c r="J128" i="4"/>
  <c r="M128" i="4"/>
  <c r="M127" i="4" s="1"/>
  <c r="N128" i="4"/>
  <c r="O128" i="4"/>
  <c r="N12" i="4"/>
  <c r="N11" i="4" s="1"/>
  <c r="O12" i="4"/>
  <c r="O11" i="4" s="1"/>
  <c r="H12" i="4"/>
  <c r="H11" i="4"/>
  <c r="H173" i="4" s="1"/>
  <c r="I12" i="4"/>
  <c r="J12" i="4"/>
  <c r="L115" i="4"/>
  <c r="L78" i="4"/>
  <c r="L77" i="4" s="1"/>
  <c r="K115" i="4"/>
  <c r="F115" i="4"/>
  <c r="Q115" i="4" s="1"/>
  <c r="F29" i="4"/>
  <c r="F30" i="4"/>
  <c r="Q30" i="4"/>
  <c r="F63" i="4"/>
  <c r="Q63" i="4" s="1"/>
  <c r="F140" i="4"/>
  <c r="K140" i="4"/>
  <c r="Q140" i="4"/>
  <c r="Q70" i="4"/>
  <c r="Q29" i="4"/>
  <c r="F169" i="4"/>
  <c r="Q169" i="4" s="1"/>
  <c r="K112" i="4"/>
  <c r="F112" i="4"/>
  <c r="Q112" i="4"/>
  <c r="M54" i="4"/>
  <c r="N54" i="4"/>
  <c r="O54" i="4"/>
  <c r="L164" i="4"/>
  <c r="M89" i="4"/>
  <c r="N89" i="4"/>
  <c r="O89" i="4"/>
  <c r="O78" i="4"/>
  <c r="O77" i="4" s="1"/>
  <c r="P89" i="4"/>
  <c r="L89" i="4"/>
  <c r="H89" i="4"/>
  <c r="I89" i="4"/>
  <c r="J89" i="4"/>
  <c r="F47" i="4"/>
  <c r="F48" i="4"/>
  <c r="Q48" i="4" s="1"/>
  <c r="F110" i="4"/>
  <c r="Q110" i="4" s="1"/>
  <c r="F15" i="4"/>
  <c r="Q15" i="4" s="1"/>
  <c r="P123" i="4"/>
  <c r="F163" i="4"/>
  <c r="Q163" i="4" s="1"/>
  <c r="M78" i="4"/>
  <c r="M77" i="4" s="1"/>
  <c r="J78" i="4"/>
  <c r="J77" i="4"/>
  <c r="H78" i="4"/>
  <c r="H77" i="4" s="1"/>
  <c r="P78" i="4"/>
  <c r="P77" i="4"/>
  <c r="N78" i="4"/>
  <c r="N77" i="4" s="1"/>
  <c r="F118" i="4"/>
  <c r="F124" i="4"/>
  <c r="Q124" i="4"/>
  <c r="F120" i="4"/>
  <c r="F108" i="4"/>
  <c r="Q108" i="4" s="1"/>
  <c r="F23" i="4"/>
  <c r="Q23" i="4" s="1"/>
  <c r="F53" i="4"/>
  <c r="F33" i="4"/>
  <c r="F109" i="4"/>
  <c r="F50" i="4"/>
  <c r="F104" i="4"/>
  <c r="I136" i="4"/>
  <c r="F145" i="4"/>
  <c r="F139" i="4"/>
  <c r="N127" i="4"/>
  <c r="O127" i="4"/>
  <c r="F130" i="4"/>
  <c r="Q130" i="4"/>
  <c r="H127" i="4"/>
  <c r="J127" i="4"/>
  <c r="F119" i="4"/>
  <c r="F76" i="4"/>
  <c r="Q76" i="4" s="1"/>
  <c r="F56" i="4"/>
  <c r="Q56" i="4"/>
  <c r="F147" i="4"/>
  <c r="I127" i="4"/>
  <c r="F134" i="4"/>
  <c r="F38" i="4"/>
  <c r="Q38" i="4" s="1"/>
  <c r="F138" i="4"/>
  <c r="K171" i="4"/>
  <c r="F171" i="4"/>
  <c r="Q171" i="4" s="1"/>
  <c r="F87" i="4"/>
  <c r="Q87" i="4"/>
  <c r="F106" i="4"/>
  <c r="F92" i="4"/>
  <c r="F17" i="4"/>
  <c r="K147" i="4"/>
  <c r="Q147" i="4" s="1"/>
  <c r="K135" i="4"/>
  <c r="Q135" i="4" s="1"/>
  <c r="F135" i="4"/>
  <c r="F172" i="4"/>
  <c r="F153" i="4"/>
  <c r="Q153" i="4" s="1"/>
  <c r="K123" i="4"/>
  <c r="F18" i="4"/>
  <c r="F160" i="4"/>
  <c r="F114" i="4"/>
  <c r="Q114" i="4" s="1"/>
  <c r="K170" i="4"/>
  <c r="K172" i="4"/>
  <c r="K167" i="4"/>
  <c r="K165" i="4"/>
  <c r="K164" i="4" s="1"/>
  <c r="F167" i="4"/>
  <c r="Q167" i="4"/>
  <c r="K166" i="4"/>
  <c r="N164" i="4"/>
  <c r="I164" i="4"/>
  <c r="D165" i="4"/>
  <c r="F162" i="4"/>
  <c r="K161" i="4"/>
  <c r="F161" i="4"/>
  <c r="Q161" i="4" s="1"/>
  <c r="F159" i="4"/>
  <c r="F154" i="4"/>
  <c r="F155" i="4"/>
  <c r="F157" i="4"/>
  <c r="F152" i="4"/>
  <c r="F151" i="4"/>
  <c r="F150" i="4"/>
  <c r="Q150" i="4" s="1"/>
  <c r="F149" i="4"/>
  <c r="K148" i="4"/>
  <c r="F148" i="4"/>
  <c r="Q148" i="4" s="1"/>
  <c r="K144" i="4"/>
  <c r="F144" i="4"/>
  <c r="Q144" i="4"/>
  <c r="K143" i="4"/>
  <c r="F143" i="4"/>
  <c r="K141" i="4"/>
  <c r="F141" i="4"/>
  <c r="K139" i="4"/>
  <c r="K138" i="4"/>
  <c r="Q138" i="4"/>
  <c r="D137" i="4"/>
  <c r="N136" i="4"/>
  <c r="K133" i="4"/>
  <c r="K128" i="4" s="1"/>
  <c r="K127" i="4" s="1"/>
  <c r="K132" i="4"/>
  <c r="K129" i="4"/>
  <c r="D128" i="4"/>
  <c r="F125" i="4"/>
  <c r="Q125" i="4" s="1"/>
  <c r="K124" i="4"/>
  <c r="K120" i="4"/>
  <c r="F123" i="4"/>
  <c r="K122" i="4"/>
  <c r="Q122" i="4" s="1"/>
  <c r="K119" i="4"/>
  <c r="N116" i="4"/>
  <c r="J117" i="4"/>
  <c r="J116" i="4"/>
  <c r="D117" i="4"/>
  <c r="M116" i="4"/>
  <c r="K111" i="4"/>
  <c r="K110" i="4"/>
  <c r="K109" i="4"/>
  <c r="K108" i="4"/>
  <c r="K107" i="4"/>
  <c r="Q107" i="4" s="1"/>
  <c r="K114" i="4"/>
  <c r="K106" i="4"/>
  <c r="K88" i="4"/>
  <c r="F88" i="4"/>
  <c r="Q88" i="4" s="1"/>
  <c r="K87" i="4"/>
  <c r="K86" i="4"/>
  <c r="F86" i="4"/>
  <c r="Q86" i="4" s="1"/>
  <c r="K85" i="4"/>
  <c r="F85" i="4"/>
  <c r="Q85" i="4"/>
  <c r="K84" i="4"/>
  <c r="F84" i="4"/>
  <c r="Q84" i="4"/>
  <c r="K82" i="4"/>
  <c r="K104" i="4"/>
  <c r="K103" i="4"/>
  <c r="F103" i="4"/>
  <c r="Q103" i="4"/>
  <c r="K102" i="4"/>
  <c r="F102" i="4"/>
  <c r="K101" i="4"/>
  <c r="F101" i="4"/>
  <c r="Q101" i="4" s="1"/>
  <c r="K100" i="4"/>
  <c r="F100" i="4"/>
  <c r="K99" i="4"/>
  <c r="K96" i="4"/>
  <c r="Q96" i="4" s="1"/>
  <c r="F96" i="4"/>
  <c r="K95" i="4"/>
  <c r="F95" i="4"/>
  <c r="K94" i="4"/>
  <c r="F94" i="4"/>
  <c r="K93" i="4"/>
  <c r="F93" i="4"/>
  <c r="Q93" i="4"/>
  <c r="K92" i="4"/>
  <c r="K91" i="4"/>
  <c r="F91" i="4"/>
  <c r="Q91" i="4"/>
  <c r="K90" i="4"/>
  <c r="F90" i="4"/>
  <c r="Q90" i="4" s="1"/>
  <c r="K98" i="4"/>
  <c r="F98" i="4"/>
  <c r="Q98" i="4" s="1"/>
  <c r="K83" i="4"/>
  <c r="F83" i="4"/>
  <c r="Q83" i="4" s="1"/>
  <c r="K81" i="4"/>
  <c r="F81" i="4"/>
  <c r="Q81" i="4"/>
  <c r="K113" i="4"/>
  <c r="K80" i="4"/>
  <c r="K79" i="4"/>
  <c r="D78" i="4"/>
  <c r="F74" i="4"/>
  <c r="Q74" i="4" s="1"/>
  <c r="F73" i="4"/>
  <c r="F71" i="4"/>
  <c r="Q71" i="4"/>
  <c r="F65" i="4"/>
  <c r="Q65" i="4" s="1"/>
  <c r="F57" i="4"/>
  <c r="Q57" i="4" s="1"/>
  <c r="F52" i="4"/>
  <c r="Q52" i="4"/>
  <c r="F46" i="4"/>
  <c r="F45" i="4"/>
  <c r="F44" i="4"/>
  <c r="Q47" i="4"/>
  <c r="F42" i="4"/>
  <c r="F41" i="4"/>
  <c r="Q41" i="4"/>
  <c r="F37" i="4"/>
  <c r="F35" i="4"/>
  <c r="F34" i="4"/>
  <c r="Q34" i="4"/>
  <c r="F32" i="4"/>
  <c r="Q32" i="4" s="1"/>
  <c r="F31" i="4"/>
  <c r="F19" i="4"/>
  <c r="F21" i="4"/>
  <c r="Q21" i="4" s="1"/>
  <c r="F20" i="4"/>
  <c r="F26" i="4"/>
  <c r="F25" i="4"/>
  <c r="F24" i="4"/>
  <c r="Q24" i="4"/>
  <c r="F16" i="4"/>
  <c r="J11" i="4"/>
  <c r="I11" i="4"/>
  <c r="K154" i="4"/>
  <c r="K159" i="4"/>
  <c r="Q159" i="4"/>
  <c r="Q19" i="4"/>
  <c r="Q31" i="4"/>
  <c r="Q37" i="4"/>
  <c r="Q42" i="4"/>
  <c r="Q95" i="4"/>
  <c r="Q100" i="4"/>
  <c r="Q102" i="4"/>
  <c r="Q44" i="4"/>
  <c r="Q119" i="4"/>
  <c r="Q109" i="4"/>
  <c r="Q16" i="4"/>
  <c r="Q25" i="4"/>
  <c r="Q26" i="4"/>
  <c r="Q20" i="4"/>
  <c r="Q45" i="4"/>
  <c r="Q123" i="4"/>
  <c r="Q141" i="4"/>
  <c r="Q143" i="4"/>
  <c r="Q18" i="4"/>
  <c r="Q172" i="4"/>
  <c r="Q92" i="4"/>
  <c r="Q104" i="4"/>
  <c r="Q33" i="4"/>
  <c r="Q120" i="4"/>
  <c r="Q154" i="4"/>
  <c r="Q106" i="4"/>
  <c r="Q53" i="4"/>
  <c r="F113" i="4"/>
  <c r="Q113" i="4" s="1"/>
  <c r="F28" i="4"/>
  <c r="Q28" i="4" s="1"/>
  <c r="H117" i="4"/>
  <c r="H116" i="4"/>
  <c r="F68" i="4"/>
  <c r="Q68" i="4" s="1"/>
  <c r="K134" i="4"/>
  <c r="Q134" i="4" s="1"/>
  <c r="F27" i="4"/>
  <c r="Q27" i="4" s="1"/>
  <c r="F166" i="4"/>
  <c r="F165" i="4" s="1"/>
  <c r="F164" i="4" s="1"/>
  <c r="Q164" i="4" s="1"/>
  <c r="Q166" i="4"/>
  <c r="F61" i="4"/>
  <c r="Q61" i="4" s="1"/>
  <c r="F146" i="4"/>
  <c r="Q146" i="4" s="1"/>
  <c r="G137" i="4"/>
  <c r="G136" i="4"/>
  <c r="Q145" i="4"/>
  <c r="G54" i="4"/>
  <c r="K131" i="4"/>
  <c r="Q131" i="4" s="1"/>
  <c r="K73" i="4"/>
  <c r="Q73" i="4" s="1"/>
  <c r="F117" i="4"/>
  <c r="F116" i="4" s="1"/>
  <c r="J173" i="4"/>
  <c r="G78" i="4"/>
  <c r="G77" i="4" s="1"/>
  <c r="M12" i="4"/>
  <c r="M11" i="4"/>
  <c r="Q139" i="4"/>
  <c r="F58" i="4"/>
  <c r="Q58" i="4"/>
  <c r="K126" i="4"/>
  <c r="K117" i="4" s="1"/>
  <c r="K116" i="4" s="1"/>
  <c r="L128" i="4"/>
  <c r="L127" i="4" s="1"/>
  <c r="F129" i="4"/>
  <c r="Q129" i="4" s="1"/>
  <c r="Q126" i="4"/>
  <c r="F78" i="4"/>
  <c r="F54" i="4"/>
  <c r="Q165" i="4" l="1"/>
  <c r="G117" i="4"/>
  <c r="G116" i="4" s="1"/>
  <c r="K137" i="4"/>
  <c r="K136" i="4" s="1"/>
  <c r="Q149" i="4"/>
  <c r="K162" i="4"/>
  <c r="M137" i="4"/>
  <c r="M136" i="4" s="1"/>
  <c r="M173" i="4" s="1"/>
  <c r="P137" i="4"/>
  <c r="P136" i="4" s="1"/>
  <c r="K142" i="4"/>
  <c r="Q142" i="4" s="1"/>
  <c r="G12" i="4"/>
  <c r="G11" i="4" s="1"/>
  <c r="F13" i="4"/>
  <c r="Q82" i="4"/>
  <c r="Q111" i="4"/>
  <c r="Q43" i="4"/>
  <c r="G128" i="4"/>
  <c r="G127" i="4" s="1"/>
  <c r="F133" i="4"/>
  <c r="I173" i="4"/>
  <c r="Q94" i="4"/>
  <c r="K89" i="4"/>
  <c r="K78" i="4" s="1"/>
  <c r="K77" i="4" s="1"/>
  <c r="Q117" i="4"/>
  <c r="Q116" i="4" s="1"/>
  <c r="K12" i="4"/>
  <c r="K11" i="4" s="1"/>
  <c r="P128" i="4"/>
  <c r="P127" i="4" s="1"/>
  <c r="F137" i="4"/>
  <c r="F77" i="4"/>
  <c r="Q77" i="4" s="1"/>
  <c r="P12" i="4"/>
  <c r="P11" i="4" s="1"/>
  <c r="Q162" i="4"/>
  <c r="N173" i="4"/>
  <c r="L12" i="4"/>
  <c r="L11" i="4" s="1"/>
  <c r="L173" i="4" s="1"/>
  <c r="P152" i="4"/>
  <c r="K152" i="4" s="1"/>
  <c r="Q152" i="4" s="1"/>
  <c r="L137" i="4"/>
  <c r="L136" i="4" s="1"/>
  <c r="L55" i="4"/>
  <c r="L54" i="4" s="1"/>
  <c r="P62" i="4"/>
  <c r="Q133" i="4" l="1"/>
  <c r="F128" i="4"/>
  <c r="Q13" i="4"/>
  <c r="F12" i="4"/>
  <c r="K62" i="4"/>
  <c r="P55" i="4"/>
  <c r="P54" i="4" s="1"/>
  <c r="F136" i="4"/>
  <c r="Q136" i="4" s="1"/>
  <c r="Q137" i="4"/>
  <c r="Q89" i="4"/>
  <c r="G173" i="4"/>
  <c r="P173" i="4"/>
  <c r="Q78" i="4"/>
  <c r="F11" i="4" l="1"/>
  <c r="Q12" i="4"/>
  <c r="F127" i="4"/>
  <c r="Q127" i="4" s="1"/>
  <c r="Q128" i="4"/>
  <c r="K55" i="4"/>
  <c r="Q62" i="4"/>
  <c r="K54" i="4" l="1"/>
  <c r="Q55" i="4"/>
  <c r="F173" i="4"/>
  <c r="Q11" i="4"/>
  <c r="Q54" i="4" l="1"/>
  <c r="K173" i="4"/>
  <c r="Q173" i="4" s="1"/>
</calcChain>
</file>

<file path=xl/sharedStrings.xml><?xml version="1.0" encoding="utf-8"?>
<sst xmlns="http://schemas.openxmlformats.org/spreadsheetml/2006/main" count="586" uniqueCount="415">
  <si>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</si>
  <si>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</si>
  <si>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</si>
  <si>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</si>
  <si>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</si>
  <si>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</si>
  <si>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</si>
  <si>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</si>
  <si>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</si>
  <si>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</si>
  <si>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</si>
  <si>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</si>
  <si>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</si>
  <si>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</si>
  <si>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</si>
  <si>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</si>
  <si>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</si>
  <si>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</si>
  <si>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</si>
  <si>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</si>
  <si>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</si>
  <si>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</si>
  <si>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</si>
  <si>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</si>
  <si>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</si>
  <si>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</si>
  <si>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</si>
  <si>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</si>
  <si>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</si>
  <si>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</si>
  <si>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</si>
  <si>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</si>
  <si>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</si>
  <si>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</si>
  <si>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</si>
  <si>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</si>
  <si>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</si>
  <si>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</si>
  <si>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</si>
  <si>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</si>
  <si>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</si>
  <si>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</si>
  <si>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</si>
  <si>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</si>
  <si>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</si>
  <si>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</si>
  <si>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</si>
  <si>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</si>
  <si>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</si>
  <si>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</si>
  <si>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</si>
  <si>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</si>
  <si>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</si>
  <si>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</si>
  <si>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</si>
  <si>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</si>
  <si>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</si>
  <si>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</si>
  <si>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</si>
  <si>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</si>
  <si>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</si>
  <si>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</si>
  <si>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</si>
  <si>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</si>
  <si>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</si>
  <si>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</si>
  <si>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</si>
  <si>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</si>
  <si>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</si>
  <si>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</si>
  <si>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</si>
  <si>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</si>
  <si>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</si>
  <si>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</si>
  <si>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</si>
  <si>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</si>
  <si>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</si>
  <si>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</si>
  <si>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</si>
  <si>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</si>
  <si>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</si>
  <si>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</si>
  <si>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</si>
  <si>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</si>
  <si>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</si>
  <si>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</si>
  <si>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</si>
  <si>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</si>
  <si>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</si>
  <si>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</si>
  <si>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</si>
  <si>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</si>
  <si>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</si>
  <si>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</si>
  <si>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</si>
  <si>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</si>
  <si>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</si>
  <si>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</si>
  <si>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</si>
  <si>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</si>
  <si>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</si>
  <si>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</si>
  <si>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</si>
  <si>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</si>
  <si>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</si>
  <si>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</si>
  <si>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</si>
  <si>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</si>
  <si>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</si>
  <si>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</si>
  <si>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</si>
  <si>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</si>
  <si>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</si>
  <si>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</si>
  <si>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</si>
  <si>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</si>
  <si>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</si>
  <si>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</si>
  <si>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</si>
  <si>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</si>
  <si>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</si>
  <si>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</si>
  <si>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</si>
  <si>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</si>
  <si>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</si>
  <si>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</si>
  <si>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</si>
  <si>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</si>
  <si>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</si>
  <si>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</si>
  <si>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</si>
  <si>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</si>
  <si>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</si>
  <si>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</si>
  <si>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</si>
  <si>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</si>
  <si>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</si>
  <si>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</si>
  <si>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</si>
  <si>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</si>
  <si>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</si>
  <si>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</si>
  <si>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</si>
  <si>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</si>
  <si>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</si>
  <si>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</si>
  <si>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</si>
  <si>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</si>
  <si>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</si>
  <si>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</si>
  <si>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</si>
  <si>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</si>
  <si>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</si>
  <si>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</si>
  <si>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</si>
  <si>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</si>
  <si>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</si>
  <si>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</si>
  <si>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</si>
  <si>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</si>
  <si>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</si>
  <si>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</si>
  <si>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</si>
  <si>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</si>
  <si>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</si>
  <si>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</si>
  <si>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</si>
  <si>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</si>
  <si>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</si>
  <si>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</si>
  <si>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</si>
  <si>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</si>
  <si>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</si>
  <si>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</si>
  <si>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</si>
  <si>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</si>
  <si>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</si>
  <si>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</si>
  <si>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</si>
  <si>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</si>
  <si>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</si>
  <si>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</si>
  <si>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</si>
  <si>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</si>
  <si>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</si>
  <si>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</si>
  <si>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</si>
  <si>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</si>
  <si>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</si>
  <si>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</si>
  <si>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</si>
  <si>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</si>
  <si>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</si>
  <si>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</si>
  <si>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</si>
  <si>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</si>
  <si>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</si>
  <si>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</si>
  <si>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</si>
  <si>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</si>
  <si>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</si>
  <si>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</si>
  <si>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</si>
  <si>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</si>
  <si>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</si>
  <si>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</si>
  <si>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</si>
  <si>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</si>
  <si>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</si>
  <si>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</si>
  <si>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</si>
  <si>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</si>
  <si>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</si>
  <si>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</si>
  <si>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</si>
  <si>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</si>
  <si>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</si>
  <si>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</si>
  <si>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</si>
  <si>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</si>
  <si>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</si>
  <si>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</si>
  <si>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</si>
  <si>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</si>
  <si>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</si>
  <si>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</si>
  <si>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</si>
  <si>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</si>
  <si>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</si>
  <si>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</si>
  <si>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</si>
  <si>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</si>
  <si>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</si>
  <si>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</si>
  <si>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</si>
  <si>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</si>
  <si>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</si>
  <si>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</si>
  <si>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</si>
  <si>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</si>
  <si>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</si>
  <si>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</si>
  <si>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</si>
  <si>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</si>
  <si>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</si>
  <si>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</si>
  <si>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</si>
  <si>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</si>
  <si>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</si>
  <si>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</si>
  <si>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</si>
  <si>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</si>
  <si>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</si>
  <si>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</si>
  <si>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</si>
  <si>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</si>
  <si>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</si>
  <si>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</si>
  <si>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</si>
  <si>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</si>
  <si>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</si>
  <si>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</si>
  <si>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</si>
  <si>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</si>
  <si>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</si>
  <si>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</si>
  <si>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</si>
  <si>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</si>
  <si>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</si>
  <si>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</si>
  <si>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</si>
  <si>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</si>
  <si>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</si>
  <si>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</si>
  <si>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</si>
  <si>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</si>
  <si>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</si>
  <si>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</si>
  <si>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</si>
  <si>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</si>
  <si>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</si>
  <si>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</si>
  <si>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</si>
  <si>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</si>
  <si>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</si>
  <si>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</si>
  <si>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</si>
  <si>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</si>
  <si>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</si>
  <si>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</si>
  <si>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</si>
  <si>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</si>
  <si>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</si>
  <si>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</si>
  <si>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</si>
  <si>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</si>
  <si>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</si>
  <si>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</si>
  <si>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</si>
  <si>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</si>
  <si>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</si>
  <si>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</si>
  <si>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</si>
  <si>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</si>
  <si>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</si>
  <si>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</si>
  <si>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</si>
  <si>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</si>
  <si>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</si>
  <si>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</si>
  <si>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</si>
  <si>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</si>
  <si>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</si>
  <si>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</si>
  <si>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</si>
  <si>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</si>
  <si>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</si>
  <si>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</si>
  <si>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</si>
  <si>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</si>
  <si>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</si>
  <si>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</si>
  <si>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</si>
  <si>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</si>
  <si>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</si>
  <si>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</si>
  <si>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</si>
  <si>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</si>
  <si>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</si>
  <si>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</si>
  <si>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</si>
  <si>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</si>
  <si>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</si>
  <si>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</si>
  <si>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</si>
  <si>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</si>
  <si>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</si>
  <si>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</si>
  <si>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</si>
  <si>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</si>
  <si>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</si>
  <si>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</si>
  <si>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</si>
  <si>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</si>
  <si>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</si>
  <si>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</si>
  <si>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</si>
  <si>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</si>
  <si>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</si>
  <si>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</si>
  <si>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</si>
  <si>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</si>
  <si>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</si>
  <si>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</si>
  <si>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</si>
  <si>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</si>
  <si>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</si>
  <si>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</si>
  <si>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</si>
  <si>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</si>
  <si>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</si>
  <si>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</si>
  <si>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</si>
  <si>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</si>
  <si>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</si>
  <si>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</si>
  <si>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</si>
  <si>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</si>
  <si>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</si>
  <si>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</si>
  <si>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</si>
  <si>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</si>
  <si>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</si>
  <si>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</si>
  <si>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</si>
  <si>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</si>
  <si>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</si>
  <si>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</si>
  <si>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</si>
  <si>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</si>
  <si>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</si>
  <si>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</si>
  <si>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</si>
  <si>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</si>
  <si>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</si>
  <si>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</si>
  <si>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</si>
  <si>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</si>
  <si>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</si>
  <si>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</si>
  <si>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</si>
  <si>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</si>
  <si>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</si>
  <si>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</si>
  <si>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</si>
  <si>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</si>
  <si>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</si>
  <si>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</si>
  <si>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</si>
  <si>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</si>
  <si>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</si>
  <si>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</si>
  <si>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</si>
  <si>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</si>
  <si>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</si>
  <si>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</si>
  <si>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</si>
  <si>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</si>
  <si>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</si>
  <si>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</si>
  <si>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VІІ скликання від 29 серпня 2019 року</t>
  </si>
  <si>
    <t xml:space="preserve">                      №...-59/2019</t>
  </si>
  <si>
    <t>3718500</t>
  </si>
  <si>
    <t>Нерозподілені трансферти з державного бюджету</t>
  </si>
  <si>
    <t>0617130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</si>
</sst>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quot;грн.&quot;_-;\-* #,##0.00&quot;грн.&quot;_-;_-* &quot;-&quot;??&quot;грн.&quot;_-;_-@_-"/>
    <numFmt numFmtId="165" formatCode="000000"/>
  </numFmts>
  <fonts count="19" x14ac:knownFonts="1">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1">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4" fontId="4" fillId="3" borderId="1" xfId="0"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0" fillId="0" borderId="1" xfId="0" applyFont="1" applyBorder="1" applyAlignment="1">
      <alignment vertical="center"/>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8"/>
  <sheetViews>
    <sheetView tabSelected="1" view="pageBreakPreview" zoomScale="60" zoomScaleNormal="60" workbookViewId="0">
      <pane xSplit="5" ySplit="10" topLeftCell="F59" activePane="bottomRight" state="frozen"/>
      <selection pane="topRight" activeCell="F1" sqref="F1"/>
      <selection pane="bottomLeft" activeCell="A11" sqref="A11"/>
      <selection pane="bottomRight" activeCell="H65" sqref="H65"/>
    </sheetView>
  </sheetViews>
  <sheetFormatPr defaultRowHeight="24.75" customHeight="1" x14ac:dyDescent="0.2"/>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7.14062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x14ac:dyDescent="0.2">
      <c r="D1" s="2"/>
      <c r="G1" s="107"/>
      <c r="O1" s="118"/>
      <c r="P1" s="132" t="s">
        <v>385</v>
      </c>
      <c r="Q1" s="132"/>
      <c r="T1" s="57"/>
    </row>
    <row r="2" spans="1:20" s="19" customFormat="1" ht="18" customHeight="1" x14ac:dyDescent="0.2">
      <c r="A2" s="132" t="s">
        <v>389</v>
      </c>
      <c r="B2" s="132"/>
      <c r="C2" s="132"/>
      <c r="D2" s="132"/>
      <c r="E2" s="132"/>
      <c r="F2" s="132"/>
      <c r="G2" s="132"/>
      <c r="H2" s="132"/>
      <c r="I2" s="132"/>
      <c r="J2" s="132"/>
      <c r="K2" s="132"/>
      <c r="L2" s="132"/>
      <c r="M2" s="132"/>
      <c r="N2" s="132"/>
      <c r="O2" s="133" t="s">
        <v>390</v>
      </c>
      <c r="P2" s="133"/>
      <c r="Q2" s="133"/>
      <c r="T2" s="57"/>
    </row>
    <row r="3" spans="1:20" s="19" customFormat="1" ht="18" customHeight="1" x14ac:dyDescent="0.2">
      <c r="A3" s="118"/>
      <c r="B3" s="118"/>
      <c r="C3" s="118"/>
      <c r="D3" s="132" t="s">
        <v>346</v>
      </c>
      <c r="E3" s="132"/>
      <c r="F3" s="132"/>
      <c r="G3" s="132"/>
      <c r="H3" s="132"/>
      <c r="I3" s="132"/>
      <c r="J3" s="132"/>
      <c r="K3" s="132"/>
      <c r="L3" s="132"/>
      <c r="M3" s="132"/>
      <c r="N3" s="132"/>
      <c r="O3" s="135" t="s">
        <v>410</v>
      </c>
      <c r="P3" s="135"/>
      <c r="Q3" s="135"/>
      <c r="T3" s="57"/>
    </row>
    <row r="4" spans="1:20" s="19" customFormat="1" ht="18" customHeight="1" x14ac:dyDescent="0.2">
      <c r="D4" s="2"/>
      <c r="E4" s="68"/>
      <c r="F4" s="68"/>
      <c r="G4" s="68"/>
      <c r="H4" s="68"/>
      <c r="I4" s="68"/>
      <c r="J4" s="68"/>
      <c r="K4" s="68"/>
      <c r="L4" s="68"/>
      <c r="M4" s="68"/>
      <c r="N4" s="134" t="s">
        <v>411</v>
      </c>
      <c r="O4" s="134"/>
      <c r="P4" s="134"/>
      <c r="Q4" s="134"/>
      <c r="T4" s="57"/>
    </row>
    <row r="5" spans="1:20" s="19" customFormat="1" ht="3.75" customHeight="1" x14ac:dyDescent="0.2">
      <c r="D5" s="2"/>
      <c r="E5" s="28"/>
      <c r="F5" s="28"/>
      <c r="G5" s="28"/>
      <c r="H5" s="28"/>
      <c r="I5" s="28"/>
      <c r="J5" s="28"/>
      <c r="K5" s="28"/>
      <c r="L5" s="28"/>
      <c r="M5" s="28"/>
      <c r="N5" s="28"/>
      <c r="O5" s="28"/>
      <c r="P5" s="58"/>
      <c r="Q5" s="58"/>
      <c r="T5" s="57"/>
    </row>
    <row r="6" spans="1:20" s="84" customFormat="1" ht="21.6" customHeight="1" x14ac:dyDescent="0.2">
      <c r="A6" s="130" t="s">
        <v>392</v>
      </c>
      <c r="B6" s="137" t="s">
        <v>359</v>
      </c>
      <c r="C6" s="131" t="s">
        <v>344</v>
      </c>
      <c r="D6" s="129" t="s">
        <v>345</v>
      </c>
      <c r="E6" s="129" t="s">
        <v>61</v>
      </c>
      <c r="F6" s="129" t="s">
        <v>347</v>
      </c>
      <c r="G6" s="129"/>
      <c r="H6" s="129"/>
      <c r="I6" s="129"/>
      <c r="J6" s="86"/>
      <c r="K6" s="129" t="s">
        <v>348</v>
      </c>
      <c r="L6" s="136"/>
      <c r="M6" s="136"/>
      <c r="N6" s="136"/>
      <c r="O6" s="136"/>
      <c r="P6" s="136"/>
      <c r="Q6" s="129" t="s">
        <v>0</v>
      </c>
      <c r="T6" s="85"/>
    </row>
    <row r="7" spans="1:20" s="84" customFormat="1" ht="25.15" customHeight="1" x14ac:dyDescent="0.2">
      <c r="A7" s="130"/>
      <c r="B7" s="138"/>
      <c r="C7" s="131"/>
      <c r="D7" s="129"/>
      <c r="E7" s="129"/>
      <c r="F7" s="129" t="s">
        <v>243</v>
      </c>
      <c r="G7" s="129" t="s">
        <v>47</v>
      </c>
      <c r="H7" s="130" t="s">
        <v>26</v>
      </c>
      <c r="I7" s="130"/>
      <c r="J7" s="129" t="s">
        <v>48</v>
      </c>
      <c r="K7" s="129" t="s">
        <v>243</v>
      </c>
      <c r="L7" s="129" t="s">
        <v>349</v>
      </c>
      <c r="M7" s="140" t="s">
        <v>49</v>
      </c>
      <c r="N7" s="130" t="s">
        <v>26</v>
      </c>
      <c r="O7" s="130"/>
      <c r="P7" s="129" t="s">
        <v>50</v>
      </c>
      <c r="Q7" s="129"/>
      <c r="T7" s="85"/>
    </row>
    <row r="8" spans="1:20" s="84" customFormat="1" ht="16.5" customHeight="1" x14ac:dyDescent="0.2">
      <c r="A8" s="130"/>
      <c r="B8" s="138"/>
      <c r="C8" s="131"/>
      <c r="D8" s="129"/>
      <c r="E8" s="129"/>
      <c r="F8" s="129"/>
      <c r="G8" s="129"/>
      <c r="H8" s="129" t="s">
        <v>56</v>
      </c>
      <c r="I8" s="129" t="s">
        <v>21</v>
      </c>
      <c r="J8" s="129"/>
      <c r="K8" s="129"/>
      <c r="L8" s="136"/>
      <c r="M8" s="136"/>
      <c r="N8" s="129" t="s">
        <v>350</v>
      </c>
      <c r="O8" s="129" t="s">
        <v>21</v>
      </c>
      <c r="P8" s="136"/>
      <c r="Q8" s="129"/>
      <c r="T8" s="85"/>
    </row>
    <row r="9" spans="1:20" s="84" customFormat="1" ht="60.6" customHeight="1" x14ac:dyDescent="0.2">
      <c r="A9" s="130"/>
      <c r="B9" s="139"/>
      <c r="C9" s="131"/>
      <c r="D9" s="129"/>
      <c r="E9" s="129"/>
      <c r="F9" s="129"/>
      <c r="G9" s="129"/>
      <c r="H9" s="129"/>
      <c r="I9" s="129"/>
      <c r="J9" s="129"/>
      <c r="K9" s="129"/>
      <c r="L9" s="136"/>
      <c r="M9" s="136"/>
      <c r="N9" s="129"/>
      <c r="O9" s="129"/>
      <c r="P9" s="136"/>
      <c r="Q9" s="129"/>
      <c r="T9" s="85"/>
    </row>
    <row r="10" spans="1:20" s="36" customFormat="1" ht="18" customHeight="1" x14ac:dyDescent="0.2">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x14ac:dyDescent="0.2">
      <c r="A11" s="38" t="s">
        <v>147</v>
      </c>
      <c r="B11" s="38" t="s">
        <v>89</v>
      </c>
      <c r="C11" s="59"/>
      <c r="D11" s="105" t="s">
        <v>138</v>
      </c>
      <c r="E11" s="60" t="s">
        <v>1</v>
      </c>
      <c r="F11" s="115">
        <f>F12</f>
        <v>114478251</v>
      </c>
      <c r="G11" s="115">
        <f>G12</f>
        <v>114478251</v>
      </c>
      <c r="H11" s="3">
        <f t="shared" ref="H11:P11" si="0">H12</f>
        <v>23866230</v>
      </c>
      <c r="I11" s="3">
        <f t="shared" si="0"/>
        <v>808660</v>
      </c>
      <c r="J11" s="3">
        <f t="shared" si="0"/>
        <v>0</v>
      </c>
      <c r="K11" s="115">
        <f t="shared" si="0"/>
        <v>8928274</v>
      </c>
      <c r="L11" s="115">
        <f t="shared" si="0"/>
        <v>5922274</v>
      </c>
      <c r="M11" s="3">
        <f t="shared" si="0"/>
        <v>3006000</v>
      </c>
      <c r="N11" s="3">
        <f t="shared" si="0"/>
        <v>0</v>
      </c>
      <c r="O11" s="3">
        <f t="shared" si="0"/>
        <v>0</v>
      </c>
      <c r="P11" s="3">
        <f t="shared" si="0"/>
        <v>5922274</v>
      </c>
      <c r="Q11" s="116">
        <f t="shared" ref="Q11:Q50" si="1">F11+K11</f>
        <v>123406525</v>
      </c>
      <c r="T11" s="62"/>
    </row>
    <row r="12" spans="1:20" s="61" customFormat="1" ht="33" customHeight="1" x14ac:dyDescent="0.2">
      <c r="A12" s="39" t="s">
        <v>148</v>
      </c>
      <c r="B12" s="39" t="s">
        <v>137</v>
      </c>
      <c r="C12" s="63"/>
      <c r="D12" s="106" t="s">
        <v>138</v>
      </c>
      <c r="E12" s="64"/>
      <c r="F12" s="110">
        <f t="shared" ref="F12:P12" si="2">SUM(F13:F53)-F16-F21-F19-F23-F30-F28-F32-F34-F18</f>
        <v>114478251</v>
      </c>
      <c r="G12" s="110">
        <f>SUM(G13:G53)-G16-G21-G19-G23-G30-G28-G32-G34-G18</f>
        <v>114478251</v>
      </c>
      <c r="H12" s="4">
        <f t="shared" si="2"/>
        <v>23866230</v>
      </c>
      <c r="I12" s="4">
        <f t="shared" si="2"/>
        <v>808660</v>
      </c>
      <c r="J12" s="4">
        <f t="shared" si="2"/>
        <v>0</v>
      </c>
      <c r="K12" s="110">
        <f>SUM(K13:K53)-K16-K21-K19-K23-K30-K28-K32-K34-K18</f>
        <v>8928274</v>
      </c>
      <c r="L12" s="110">
        <f>SUM(L13:L53)-L16-L21-L19-L23-L30-L28-L32-L34-L18</f>
        <v>5922274</v>
      </c>
      <c r="M12" s="4">
        <f t="shared" si="2"/>
        <v>3006000</v>
      </c>
      <c r="N12" s="4">
        <f t="shared" si="2"/>
        <v>0</v>
      </c>
      <c r="O12" s="4">
        <f t="shared" si="2"/>
        <v>0</v>
      </c>
      <c r="P12" s="4">
        <f t="shared" si="2"/>
        <v>5922274</v>
      </c>
      <c r="Q12" s="114">
        <f t="shared" si="1"/>
        <v>123406525</v>
      </c>
      <c r="T12" s="62"/>
    </row>
    <row r="13" spans="1:20" s="65" customFormat="1" ht="49.15" customHeight="1" x14ac:dyDescent="0.2">
      <c r="A13" s="40" t="s">
        <v>149</v>
      </c>
      <c r="B13" s="40" t="s">
        <v>150</v>
      </c>
      <c r="C13" s="40" t="s">
        <v>63</v>
      </c>
      <c r="D13" s="88" t="s">
        <v>365</v>
      </c>
      <c r="E13" s="5" t="s">
        <v>2</v>
      </c>
      <c r="F13" s="4">
        <f t="shared" ref="F13:F81" si="3">G13+J13</f>
        <v>23741200</v>
      </c>
      <c r="G13" s="6">
        <f>23531200+32000+78000+100000</f>
        <v>23741200</v>
      </c>
      <c r="H13" s="7">
        <v>21814930</v>
      </c>
      <c r="I13" s="7">
        <v>648360</v>
      </c>
      <c r="J13" s="7"/>
      <c r="K13" s="4">
        <f>M13+P13</f>
        <v>235600</v>
      </c>
      <c r="L13" s="4">
        <v>200000</v>
      </c>
      <c r="M13" s="6">
        <v>35600</v>
      </c>
      <c r="N13" s="6"/>
      <c r="O13" s="7"/>
      <c r="P13" s="7">
        <v>200000</v>
      </c>
      <c r="Q13" s="8">
        <f t="shared" si="1"/>
        <v>23976800</v>
      </c>
      <c r="T13" s="57"/>
    </row>
    <row r="14" spans="1:20" s="65" customFormat="1" ht="35.25" customHeight="1" x14ac:dyDescent="0.2">
      <c r="A14" s="40" t="s">
        <v>170</v>
      </c>
      <c r="B14" s="40" t="s">
        <v>124</v>
      </c>
      <c r="C14" s="40" t="s">
        <v>74</v>
      </c>
      <c r="D14" s="88" t="s">
        <v>171</v>
      </c>
      <c r="E14" s="5"/>
      <c r="F14" s="4">
        <f t="shared" si="3"/>
        <v>688000</v>
      </c>
      <c r="G14" s="6">
        <f>185000+25000+73000+50000+5000+200000+20000-20000+20000+55000+20000+40000+15000</f>
        <v>688000</v>
      </c>
      <c r="H14" s="7"/>
      <c r="I14" s="7"/>
      <c r="J14" s="7"/>
      <c r="K14" s="4">
        <f t="shared" ref="K14:K51" si="4">M14+P14</f>
        <v>0</v>
      </c>
      <c r="L14" s="4"/>
      <c r="M14" s="6"/>
      <c r="N14" s="6"/>
      <c r="O14" s="7"/>
      <c r="P14" s="7"/>
      <c r="Q14" s="8">
        <f t="shared" si="1"/>
        <v>688000</v>
      </c>
      <c r="T14" s="57"/>
    </row>
    <row r="15" spans="1:20" s="61" customFormat="1" ht="33.75" customHeight="1" x14ac:dyDescent="0.2">
      <c r="A15" s="40" t="s">
        <v>151</v>
      </c>
      <c r="B15" s="40" t="s">
        <v>90</v>
      </c>
      <c r="C15" s="42" t="s">
        <v>64</v>
      </c>
      <c r="D15" s="89" t="s">
        <v>102</v>
      </c>
      <c r="E15" s="21" t="s">
        <v>62</v>
      </c>
      <c r="F15" s="4">
        <f t="shared" si="3"/>
        <v>56776290</v>
      </c>
      <c r="G15" s="6">
        <f>56037400+6300+3800+400000+250000+78790</f>
        <v>56776290</v>
      </c>
      <c r="H15" s="7"/>
      <c r="I15" s="7"/>
      <c r="J15" s="7"/>
      <c r="K15" s="4">
        <f t="shared" si="4"/>
        <v>4017900</v>
      </c>
      <c r="L15" s="4">
        <f>8700+25000+854800+59400+2000000</f>
        <v>2947900</v>
      </c>
      <c r="M15" s="6">
        <v>1070000</v>
      </c>
      <c r="N15" s="6"/>
      <c r="O15" s="7"/>
      <c r="P15" s="10">
        <f>L15</f>
        <v>2947900</v>
      </c>
      <c r="Q15" s="8">
        <f t="shared" si="1"/>
        <v>60794190</v>
      </c>
      <c r="T15" s="62"/>
    </row>
    <row r="16" spans="1:20" s="61" customFormat="1" ht="36" customHeight="1" x14ac:dyDescent="0.2">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x14ac:dyDescent="0.2">
      <c r="A17" s="40" t="s">
        <v>156</v>
      </c>
      <c r="B17" s="40" t="s">
        <v>136</v>
      </c>
      <c r="C17" s="40" t="s">
        <v>65</v>
      </c>
      <c r="D17" s="91" t="s">
        <v>103</v>
      </c>
      <c r="E17" s="13" t="s">
        <v>57</v>
      </c>
      <c r="F17" s="4">
        <f>G17+J17</f>
        <v>20225249</v>
      </c>
      <c r="G17" s="6">
        <f>19712200+100000+24000+50000+30000+100000+219500-10451</f>
        <v>20225249</v>
      </c>
      <c r="H17" s="7"/>
      <c r="I17" s="7"/>
      <c r="J17" s="7"/>
      <c r="K17" s="4">
        <f t="shared" ref="K17:K23" si="5">M17+P17</f>
        <v>1711068</v>
      </c>
      <c r="L17" s="4">
        <f>P17</f>
        <v>1572668</v>
      </c>
      <c r="M17" s="6">
        <f>138400</f>
        <v>138400</v>
      </c>
      <c r="N17" s="6"/>
      <c r="O17" s="7"/>
      <c r="P17" s="7">
        <f>481217+151000+930000+10451</f>
        <v>1572668</v>
      </c>
      <c r="Q17" s="8">
        <f t="shared" ref="Q17:Q23" si="6">F17+K17</f>
        <v>21936317</v>
      </c>
      <c r="T17" s="62"/>
    </row>
    <row r="18" spans="1:20" s="61" customFormat="1" ht="35.25" customHeight="1" x14ac:dyDescent="0.2">
      <c r="A18" s="40" t="s">
        <v>156</v>
      </c>
      <c r="B18" s="40" t="s">
        <v>136</v>
      </c>
      <c r="C18" s="40" t="s">
        <v>65</v>
      </c>
      <c r="D18" s="91" t="s">
        <v>366</v>
      </c>
      <c r="E18" s="13"/>
      <c r="F18" s="4">
        <f>G18</f>
        <v>180000</v>
      </c>
      <c r="G18" s="6">
        <f>100000+50000+30000</f>
        <v>180000</v>
      </c>
      <c r="H18" s="7"/>
      <c r="I18" s="7"/>
      <c r="J18" s="7"/>
      <c r="K18" s="4">
        <f t="shared" si="5"/>
        <v>0</v>
      </c>
      <c r="L18" s="4"/>
      <c r="M18" s="6"/>
      <c r="N18" s="6"/>
      <c r="O18" s="7"/>
      <c r="P18" s="7"/>
      <c r="Q18" s="8">
        <f t="shared" si="6"/>
        <v>180000</v>
      </c>
      <c r="T18" s="62"/>
    </row>
    <row r="19" spans="1:20" s="61" customFormat="1" ht="30" customHeight="1" x14ac:dyDescent="0.2">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x14ac:dyDescent="0.2">
      <c r="A20" s="40" t="s">
        <v>155</v>
      </c>
      <c r="B20" s="40" t="s">
        <v>135</v>
      </c>
      <c r="C20" s="40" t="s">
        <v>66</v>
      </c>
      <c r="D20" s="90" t="s">
        <v>127</v>
      </c>
      <c r="E20" s="13"/>
      <c r="F20" s="4">
        <f>G20+J20</f>
        <v>5160993</v>
      </c>
      <c r="G20" s="6">
        <f>4608400+61393+391200+100000</f>
        <v>5160993</v>
      </c>
      <c r="H20" s="7"/>
      <c r="I20" s="7"/>
      <c r="J20" s="7"/>
      <c r="K20" s="4">
        <f t="shared" si="5"/>
        <v>1808200</v>
      </c>
      <c r="L20" s="4">
        <v>46200</v>
      </c>
      <c r="M20" s="6">
        <v>1762000</v>
      </c>
      <c r="N20" s="6"/>
      <c r="O20" s="7"/>
      <c r="P20" s="10">
        <f>L20</f>
        <v>46200</v>
      </c>
      <c r="Q20" s="8">
        <f t="shared" si="6"/>
        <v>6969193</v>
      </c>
      <c r="T20" s="62"/>
    </row>
    <row r="21" spans="1:20" s="61" customFormat="1" ht="32.25" customHeight="1" x14ac:dyDescent="0.2">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x14ac:dyDescent="0.2">
      <c r="A22" s="40" t="s">
        <v>258</v>
      </c>
      <c r="B22" s="40" t="s">
        <v>257</v>
      </c>
      <c r="C22" s="40" t="s">
        <v>261</v>
      </c>
      <c r="D22" s="90" t="s">
        <v>260</v>
      </c>
      <c r="E22" s="13"/>
      <c r="F22" s="4">
        <f>G22+J22</f>
        <v>2159562</v>
      </c>
      <c r="G22" s="6">
        <f>655000+1100000+10000+394562</f>
        <v>2159562</v>
      </c>
      <c r="H22" s="7"/>
      <c r="I22" s="7"/>
      <c r="J22" s="7"/>
      <c r="K22" s="4">
        <f t="shared" si="5"/>
        <v>0</v>
      </c>
      <c r="L22" s="4"/>
      <c r="M22" s="6"/>
      <c r="N22" s="6"/>
      <c r="O22" s="7"/>
      <c r="P22" s="7">
        <f>L22</f>
        <v>0</v>
      </c>
      <c r="Q22" s="8">
        <f t="shared" si="6"/>
        <v>2159562</v>
      </c>
      <c r="T22" s="62"/>
    </row>
    <row r="23" spans="1:20" s="61" customFormat="1" ht="30" customHeight="1" x14ac:dyDescent="0.2">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x14ac:dyDescent="0.2">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x14ac:dyDescent="0.2">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x14ac:dyDescent="0.2">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x14ac:dyDescent="0.2">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x14ac:dyDescent="0.2">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x14ac:dyDescent="0.2">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x14ac:dyDescent="0.2">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x14ac:dyDescent="0.2">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x14ac:dyDescent="0.2">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x14ac:dyDescent="0.2">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x14ac:dyDescent="0.2">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x14ac:dyDescent="0.2">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x14ac:dyDescent="0.2">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x14ac:dyDescent="0.2">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x14ac:dyDescent="0.2">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x14ac:dyDescent="0.2">
      <c r="A39" s="40" t="s">
        <v>404</v>
      </c>
      <c r="B39" s="40"/>
      <c r="C39" s="40" t="s">
        <v>68</v>
      </c>
      <c r="D39" s="91"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x14ac:dyDescent="0.2">
      <c r="A40" s="40" t="s">
        <v>265</v>
      </c>
      <c r="B40" s="40" t="s">
        <v>142</v>
      </c>
      <c r="C40" s="40" t="s">
        <v>68</v>
      </c>
      <c r="D40" s="91" t="s">
        <v>266</v>
      </c>
      <c r="E40" s="13"/>
      <c r="F40" s="4">
        <f>G40+J40</f>
        <v>1339040</v>
      </c>
      <c r="G40" s="6">
        <f>690000+64000+55000+12000+68600+54500+17200+54200+140000+32780+140000+10760</f>
        <v>1339040</v>
      </c>
      <c r="H40" s="7"/>
      <c r="I40" s="7"/>
      <c r="J40" s="7"/>
      <c r="K40" s="4">
        <f t="shared" si="4"/>
        <v>0</v>
      </c>
      <c r="L40" s="4"/>
      <c r="M40" s="6"/>
      <c r="N40" s="6"/>
      <c r="O40" s="7"/>
      <c r="P40" s="7"/>
      <c r="Q40" s="8">
        <f t="shared" si="1"/>
        <v>1339040</v>
      </c>
      <c r="T40" s="57"/>
    </row>
    <row r="41" spans="1:20" s="19" customFormat="1" ht="38.25" customHeight="1" x14ac:dyDescent="0.2">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38.25" customHeight="1" x14ac:dyDescent="0.2">
      <c r="A42" s="40" t="s">
        <v>162</v>
      </c>
      <c r="B42" s="40" t="s">
        <v>92</v>
      </c>
      <c r="C42" s="40" t="s">
        <v>72</v>
      </c>
      <c r="D42" s="91" t="s">
        <v>145</v>
      </c>
      <c r="E42" s="27"/>
      <c r="F42" s="9">
        <f t="shared" si="3"/>
        <v>123723</v>
      </c>
      <c r="G42" s="15">
        <f>150000-20000+20000-26277</f>
        <v>123723</v>
      </c>
      <c r="H42" s="16"/>
      <c r="I42" s="16"/>
      <c r="J42" s="16"/>
      <c r="K42" s="9">
        <f t="shared" si="4"/>
        <v>0</v>
      </c>
      <c r="L42" s="9"/>
      <c r="M42" s="15"/>
      <c r="N42" s="15"/>
      <c r="O42" s="16"/>
      <c r="P42" s="16"/>
      <c r="Q42" s="8">
        <f t="shared" si="1"/>
        <v>123723</v>
      </c>
      <c r="T42" s="57"/>
    </row>
    <row r="43" spans="1:20" s="19" customFormat="1" ht="38.25" customHeight="1" x14ac:dyDescent="0.2">
      <c r="A43" s="40" t="s">
        <v>408</v>
      </c>
      <c r="B43" s="40"/>
      <c r="C43" s="40" t="s">
        <v>85</v>
      </c>
      <c r="D43" s="92" t="s">
        <v>234</v>
      </c>
      <c r="E43" s="27"/>
      <c r="F43" s="9">
        <f t="shared" si="3"/>
        <v>0</v>
      </c>
      <c r="G43" s="15"/>
      <c r="H43" s="16"/>
      <c r="I43" s="16"/>
      <c r="J43" s="16"/>
      <c r="K43" s="9">
        <f t="shared" si="4"/>
        <v>253000</v>
      </c>
      <c r="L43" s="9">
        <v>253000</v>
      </c>
      <c r="M43" s="15"/>
      <c r="N43" s="15"/>
      <c r="O43" s="16"/>
      <c r="P43" s="16">
        <f>L43</f>
        <v>253000</v>
      </c>
      <c r="Q43" s="8">
        <f t="shared" si="1"/>
        <v>253000</v>
      </c>
      <c r="T43" s="57"/>
    </row>
    <row r="44" spans="1:20" s="19" customFormat="1" ht="62.45" customHeight="1" x14ac:dyDescent="0.2">
      <c r="A44" s="40" t="s">
        <v>249</v>
      </c>
      <c r="B44" s="40" t="s">
        <v>248</v>
      </c>
      <c r="C44" s="40" t="s">
        <v>247</v>
      </c>
      <c r="D44" s="92" t="s">
        <v>364</v>
      </c>
      <c r="E44" s="27"/>
      <c r="F44" s="9">
        <f>G44+J44</f>
        <v>0</v>
      </c>
      <c r="G44" s="15">
        <v>0</v>
      </c>
      <c r="H44" s="16"/>
      <c r="I44" s="16"/>
      <c r="J44" s="16"/>
      <c r="K44" s="9">
        <f>M44+P44</f>
        <v>409700</v>
      </c>
      <c r="L44" s="9">
        <f>410000-300</f>
        <v>409700</v>
      </c>
      <c r="M44" s="15"/>
      <c r="N44" s="15"/>
      <c r="O44" s="16"/>
      <c r="P44" s="16">
        <f>L44</f>
        <v>409700</v>
      </c>
      <c r="Q44" s="8">
        <f>F44+K44</f>
        <v>409700</v>
      </c>
      <c r="T44" s="57"/>
    </row>
    <row r="45" spans="1:20" s="19" customFormat="1" ht="34.15" customHeight="1" x14ac:dyDescent="0.2">
      <c r="A45" s="40" t="s">
        <v>166</v>
      </c>
      <c r="B45" s="40" t="s">
        <v>167</v>
      </c>
      <c r="C45" s="40" t="s">
        <v>169</v>
      </c>
      <c r="D45" s="91" t="s">
        <v>168</v>
      </c>
      <c r="E45" s="13"/>
      <c r="F45" s="9">
        <f>G45+J45</f>
        <v>10000</v>
      </c>
      <c r="G45" s="15">
        <v>10000</v>
      </c>
      <c r="H45" s="16"/>
      <c r="I45" s="16"/>
      <c r="J45" s="16"/>
      <c r="K45" s="9">
        <f>M45+P45</f>
        <v>0</v>
      </c>
      <c r="L45" s="9"/>
      <c r="M45" s="15"/>
      <c r="N45" s="15"/>
      <c r="O45" s="16"/>
      <c r="P45" s="16"/>
      <c r="Q45" s="8">
        <f>F45+K45</f>
        <v>10000</v>
      </c>
      <c r="T45" s="57"/>
    </row>
    <row r="46" spans="1:20" s="19" customFormat="1" ht="22.9" customHeight="1" x14ac:dyDescent="0.2">
      <c r="A46" s="40" t="s">
        <v>172</v>
      </c>
      <c r="B46" s="40"/>
      <c r="C46" s="40" t="s">
        <v>88</v>
      </c>
      <c r="D46" s="91" t="s">
        <v>173</v>
      </c>
      <c r="E46" s="13"/>
      <c r="F46" s="9">
        <f>G46+J46</f>
        <v>0</v>
      </c>
      <c r="G46" s="15">
        <v>0</v>
      </c>
      <c r="H46" s="16"/>
      <c r="I46" s="16"/>
      <c r="J46" s="16"/>
      <c r="K46" s="9">
        <f>M46+P46</f>
        <v>0</v>
      </c>
      <c r="L46" s="9"/>
      <c r="M46" s="15"/>
      <c r="N46" s="15"/>
      <c r="O46" s="16"/>
      <c r="P46" s="16">
        <f>350000-30000-6000-314000</f>
        <v>0</v>
      </c>
      <c r="Q46" s="8">
        <f>F46+K46</f>
        <v>0</v>
      </c>
      <c r="T46" s="57"/>
    </row>
    <row r="47" spans="1:20" s="19" customFormat="1" ht="33" customHeight="1" x14ac:dyDescent="0.2">
      <c r="A47" s="40" t="s">
        <v>298</v>
      </c>
      <c r="B47" s="40"/>
      <c r="C47" s="40" t="s">
        <v>247</v>
      </c>
      <c r="D47" s="91" t="s">
        <v>311</v>
      </c>
      <c r="E47" s="27"/>
      <c r="F47" s="9">
        <f>G47+J47</f>
        <v>0</v>
      </c>
      <c r="G47" s="15">
        <v>0</v>
      </c>
      <c r="H47" s="16"/>
      <c r="I47" s="16"/>
      <c r="J47" s="16"/>
      <c r="K47" s="9">
        <f t="shared" si="4"/>
        <v>40000</v>
      </c>
      <c r="L47" s="9">
        <v>40000</v>
      </c>
      <c r="M47" s="15"/>
      <c r="N47" s="15"/>
      <c r="O47" s="16"/>
      <c r="P47" s="16">
        <v>40000</v>
      </c>
      <c r="Q47" s="8">
        <f t="shared" si="1"/>
        <v>40000</v>
      </c>
      <c r="T47" s="57"/>
    </row>
    <row r="48" spans="1:20" s="19" customFormat="1" ht="61.15" customHeight="1" x14ac:dyDescent="0.2">
      <c r="A48" s="40" t="s">
        <v>299</v>
      </c>
      <c r="B48" s="40"/>
      <c r="C48" s="40" t="s">
        <v>247</v>
      </c>
      <c r="D48" s="92" t="s">
        <v>300</v>
      </c>
      <c r="E48" s="27"/>
      <c r="F48" s="9">
        <f>G48+J48</f>
        <v>0</v>
      </c>
      <c r="G48" s="15">
        <v>0</v>
      </c>
      <c r="H48" s="16"/>
      <c r="I48" s="16"/>
      <c r="J48" s="16"/>
      <c r="K48" s="9">
        <f t="shared" si="4"/>
        <v>10000</v>
      </c>
      <c r="L48" s="9">
        <v>10000</v>
      </c>
      <c r="M48" s="15"/>
      <c r="N48" s="15"/>
      <c r="O48" s="16"/>
      <c r="P48" s="16">
        <v>10000</v>
      </c>
      <c r="Q48" s="8">
        <f t="shared" si="1"/>
        <v>10000</v>
      </c>
      <c r="T48" s="57"/>
    </row>
    <row r="49" spans="1:20" s="19" customFormat="1" ht="33" customHeight="1" x14ac:dyDescent="0.2">
      <c r="A49" s="40" t="s">
        <v>409</v>
      </c>
      <c r="B49" s="40"/>
      <c r="C49" s="40" t="s">
        <v>247</v>
      </c>
      <c r="D49" s="92" t="s">
        <v>357</v>
      </c>
      <c r="E49" s="27"/>
      <c r="F49" s="9"/>
      <c r="G49" s="15"/>
      <c r="H49" s="16"/>
      <c r="I49" s="16"/>
      <c r="J49" s="16"/>
      <c r="K49" s="9">
        <f t="shared" si="4"/>
        <v>1000</v>
      </c>
      <c r="L49" s="9">
        <v>1000</v>
      </c>
      <c r="M49" s="15"/>
      <c r="N49" s="15"/>
      <c r="O49" s="16"/>
      <c r="P49" s="16">
        <f>L49</f>
        <v>1000</v>
      </c>
      <c r="Q49" s="8">
        <f t="shared" si="1"/>
        <v>1000</v>
      </c>
      <c r="T49" s="57"/>
    </row>
    <row r="50" spans="1:20" s="19" customFormat="1" ht="34.5" customHeight="1" x14ac:dyDescent="0.2">
      <c r="A50" s="40" t="s">
        <v>340</v>
      </c>
      <c r="B50" s="40"/>
      <c r="C50" s="40" t="s">
        <v>247</v>
      </c>
      <c r="D50" s="91" t="s">
        <v>341</v>
      </c>
      <c r="E50" s="13"/>
      <c r="F50" s="9">
        <f t="shared" si="3"/>
        <v>62000</v>
      </c>
      <c r="G50" s="15">
        <v>62000</v>
      </c>
      <c r="H50" s="16"/>
      <c r="I50" s="16"/>
      <c r="J50" s="16"/>
      <c r="K50" s="9">
        <f t="shared" si="4"/>
        <v>0</v>
      </c>
      <c r="L50" s="9"/>
      <c r="M50" s="15"/>
      <c r="N50" s="15"/>
      <c r="O50" s="16"/>
      <c r="P50" s="16"/>
      <c r="Q50" s="8">
        <f t="shared" si="1"/>
        <v>62000</v>
      </c>
      <c r="T50" s="57"/>
    </row>
    <row r="51" spans="1:20" s="19" customFormat="1" ht="33" customHeight="1" x14ac:dyDescent="0.2">
      <c r="A51" s="40" t="s">
        <v>163</v>
      </c>
      <c r="B51" s="40" t="s">
        <v>93</v>
      </c>
      <c r="C51" s="40" t="s">
        <v>73</v>
      </c>
      <c r="D51" s="92" t="s">
        <v>312</v>
      </c>
      <c r="E51" s="13"/>
      <c r="F51" s="9">
        <f t="shared" si="3"/>
        <v>30000</v>
      </c>
      <c r="G51" s="15">
        <f>15000+15000</f>
        <v>30000</v>
      </c>
      <c r="H51" s="16"/>
      <c r="I51" s="16"/>
      <c r="J51" s="16"/>
      <c r="K51" s="9">
        <f t="shared" si="4"/>
        <v>0</v>
      </c>
      <c r="L51" s="9"/>
      <c r="M51" s="15"/>
      <c r="N51" s="15"/>
      <c r="O51" s="16"/>
      <c r="P51" s="16"/>
      <c r="Q51" s="8">
        <f t="shared" ref="Q51:Q83" si="7">F51+K51</f>
        <v>30000</v>
      </c>
      <c r="T51" s="57"/>
    </row>
    <row r="52" spans="1:20" s="19" customFormat="1" ht="34.15" customHeight="1" x14ac:dyDescent="0.2">
      <c r="A52" s="41" t="s">
        <v>164</v>
      </c>
      <c r="B52" s="41" t="s">
        <v>143</v>
      </c>
      <c r="C52" s="41" t="s">
        <v>71</v>
      </c>
      <c r="D52" s="93" t="s">
        <v>144</v>
      </c>
      <c r="E52" s="13" t="s">
        <v>4</v>
      </c>
      <c r="F52" s="9">
        <f t="shared" si="3"/>
        <v>900000</v>
      </c>
      <c r="G52" s="15">
        <v>900000</v>
      </c>
      <c r="H52" s="17"/>
      <c r="I52" s="17"/>
      <c r="J52" s="17"/>
      <c r="K52" s="9">
        <f>M52+P52</f>
        <v>0</v>
      </c>
      <c r="L52" s="9"/>
      <c r="M52" s="9"/>
      <c r="N52" s="9"/>
      <c r="O52" s="17"/>
      <c r="P52" s="17"/>
      <c r="Q52" s="8">
        <f t="shared" si="7"/>
        <v>900000</v>
      </c>
      <c r="T52" s="57"/>
    </row>
    <row r="53" spans="1:20" s="19" customFormat="1" ht="32.450000000000003" customHeight="1" x14ac:dyDescent="0.2">
      <c r="A53" s="40" t="s">
        <v>165</v>
      </c>
      <c r="B53" s="40" t="s">
        <v>124</v>
      </c>
      <c r="C53" s="40" t="s">
        <v>71</v>
      </c>
      <c r="D53" s="91" t="s">
        <v>146</v>
      </c>
      <c r="E53" s="18"/>
      <c r="F53" s="4">
        <f>G53+J53</f>
        <v>50000</v>
      </c>
      <c r="G53" s="6">
        <v>50000</v>
      </c>
      <c r="H53" s="7"/>
      <c r="I53" s="7"/>
      <c r="J53" s="7"/>
      <c r="K53" s="4">
        <f>M53+P53</f>
        <v>0</v>
      </c>
      <c r="L53" s="4"/>
      <c r="M53" s="6"/>
      <c r="N53" s="6"/>
      <c r="O53" s="7"/>
      <c r="P53" s="7"/>
      <c r="Q53" s="8">
        <f t="shared" si="7"/>
        <v>50000</v>
      </c>
      <c r="T53" s="57"/>
    </row>
    <row r="54" spans="1:20" s="68" customFormat="1" ht="39.75" customHeight="1" x14ac:dyDescent="0.2">
      <c r="A54" s="38" t="s">
        <v>174</v>
      </c>
      <c r="B54" s="38" t="s">
        <v>94</v>
      </c>
      <c r="C54" s="66"/>
      <c r="D54" s="94" t="s">
        <v>28</v>
      </c>
      <c r="E54" s="67" t="s">
        <v>28</v>
      </c>
      <c r="F54" s="115">
        <f>F55</f>
        <v>220839358</v>
      </c>
      <c r="G54" s="115">
        <f t="shared" ref="G54:P54" si="8">G55</f>
        <v>220839358</v>
      </c>
      <c r="H54" s="126">
        <f t="shared" si="8"/>
        <v>173176145.34999999</v>
      </c>
      <c r="I54" s="3">
        <f t="shared" si="8"/>
        <v>26762340</v>
      </c>
      <c r="J54" s="3">
        <f t="shared" si="8"/>
        <v>0</v>
      </c>
      <c r="K54" s="115">
        <f t="shared" si="8"/>
        <v>24752326.239999998</v>
      </c>
      <c r="L54" s="115">
        <f t="shared" si="8"/>
        <v>18674040.949999999</v>
      </c>
      <c r="M54" s="3">
        <f t="shared" si="8"/>
        <v>6078285.29</v>
      </c>
      <c r="N54" s="3">
        <f t="shared" si="8"/>
        <v>146400</v>
      </c>
      <c r="O54" s="3">
        <f t="shared" si="8"/>
        <v>172470</v>
      </c>
      <c r="P54" s="115">
        <f t="shared" si="8"/>
        <v>18674040.949999999</v>
      </c>
      <c r="Q54" s="116">
        <f t="shared" si="7"/>
        <v>245591684.24000001</v>
      </c>
      <c r="T54" s="62"/>
    </row>
    <row r="55" spans="1:20" s="68" customFormat="1" ht="39.75" customHeight="1" x14ac:dyDescent="0.2">
      <c r="A55" s="39" t="s">
        <v>175</v>
      </c>
      <c r="B55" s="39" t="s">
        <v>176</v>
      </c>
      <c r="C55" s="69"/>
      <c r="D55" s="95" t="s">
        <v>215</v>
      </c>
      <c r="E55" s="70"/>
      <c r="F55" s="110">
        <f>G55</f>
        <v>220839358</v>
      </c>
      <c r="G55" s="110">
        <f>SUM(G56:G76)-G61-G62-G70-G63-G59</f>
        <v>220839358</v>
      </c>
      <c r="H55" s="4">
        <f>SUM(H56:H76)-H61-H62-H70-H63-H59</f>
        <v>173176145.34999999</v>
      </c>
      <c r="I55" s="4">
        <f t="shared" ref="I55:O55" si="9">SUM(I56:I76)-I61-I62-I67-I63</f>
        <v>26762340</v>
      </c>
      <c r="J55" s="4">
        <f t="shared" si="9"/>
        <v>0</v>
      </c>
      <c r="K55" s="110">
        <f>SUM(K56:K76)-K61-K62-K67-K63-K59</f>
        <v>24752326.239999998</v>
      </c>
      <c r="L55" s="110">
        <f>SUM(L56:L76)-L61-L62-L67-L63-L59</f>
        <v>18674040.949999999</v>
      </c>
      <c r="M55" s="4">
        <f>SUM(M56:M76)-M61-M62-M67-M63</f>
        <v>6078285.29</v>
      </c>
      <c r="N55" s="4">
        <f t="shared" si="9"/>
        <v>146400</v>
      </c>
      <c r="O55" s="4">
        <f t="shared" si="9"/>
        <v>172470</v>
      </c>
      <c r="P55" s="110">
        <f>SUM(P56:P76)-P61-P62-P67-P63-P59</f>
        <v>18674040.949999999</v>
      </c>
      <c r="Q55" s="114">
        <f t="shared" si="7"/>
        <v>245591684.24000001</v>
      </c>
      <c r="T55" s="62"/>
    </row>
    <row r="56" spans="1:20" s="19" customFormat="1" ht="48" customHeight="1" x14ac:dyDescent="0.2">
      <c r="A56" s="40" t="s">
        <v>177</v>
      </c>
      <c r="B56" s="45">
        <v>1010180</v>
      </c>
      <c r="C56" s="40" t="s">
        <v>63</v>
      </c>
      <c r="D56" s="88" t="s">
        <v>358</v>
      </c>
      <c r="E56" s="13" t="s">
        <v>2</v>
      </c>
      <c r="F56" s="4">
        <f t="shared" si="3"/>
        <v>1345800</v>
      </c>
      <c r="G56" s="6">
        <f>1258800+87000</f>
        <v>1345800</v>
      </c>
      <c r="H56" s="7">
        <f>1193450+87000</f>
        <v>1280450</v>
      </c>
      <c r="I56" s="7">
        <v>25000</v>
      </c>
      <c r="J56" s="7"/>
      <c r="K56" s="4">
        <f t="shared" ref="K56:K76" si="10">M56+P56</f>
        <v>0</v>
      </c>
      <c r="L56" s="4"/>
      <c r="M56" s="7"/>
      <c r="N56" s="6"/>
      <c r="O56" s="7"/>
      <c r="P56" s="7"/>
      <c r="Q56" s="8">
        <f t="shared" si="7"/>
        <v>1345800</v>
      </c>
      <c r="T56" s="57"/>
    </row>
    <row r="57" spans="1:20" s="19" customFormat="1" ht="35.25" customHeight="1" x14ac:dyDescent="0.2">
      <c r="A57" s="40" t="s">
        <v>320</v>
      </c>
      <c r="B57" s="45">
        <v>1518600</v>
      </c>
      <c r="C57" s="40" t="s">
        <v>74</v>
      </c>
      <c r="D57" s="88" t="s">
        <v>171</v>
      </c>
      <c r="E57" s="13"/>
      <c r="F57" s="4">
        <f t="shared" si="3"/>
        <v>20000</v>
      </c>
      <c r="G57" s="6">
        <v>20000</v>
      </c>
      <c r="H57" s="7"/>
      <c r="I57" s="7"/>
      <c r="J57" s="7"/>
      <c r="K57" s="4">
        <f t="shared" si="10"/>
        <v>0</v>
      </c>
      <c r="L57" s="4"/>
      <c r="M57" s="7"/>
      <c r="N57" s="6"/>
      <c r="O57" s="7"/>
      <c r="P57" s="7"/>
      <c r="Q57" s="8">
        <f t="shared" si="7"/>
        <v>20000</v>
      </c>
      <c r="T57" s="57"/>
    </row>
    <row r="58" spans="1:20" s="19" customFormat="1" ht="42" customHeight="1" x14ac:dyDescent="0.2">
      <c r="A58" s="40" t="s">
        <v>178</v>
      </c>
      <c r="B58" s="45">
        <v>1011010</v>
      </c>
      <c r="C58" s="40" t="s">
        <v>75</v>
      </c>
      <c r="D58" s="92" t="s">
        <v>179</v>
      </c>
      <c r="E58" s="13" t="s">
        <v>6</v>
      </c>
      <c r="F58" s="110">
        <f t="shared" si="3"/>
        <v>52372208.649999999</v>
      </c>
      <c r="G58" s="113">
        <f>49800330+25000-474000+80000+15000+1130000+6000+1200000-90121.35+30000+650000</f>
        <v>52372208.649999999</v>
      </c>
      <c r="H58" s="7">
        <f>35990000-474000+44000+1130000+1200000+650000</f>
        <v>38540000</v>
      </c>
      <c r="I58" s="7">
        <v>7751130</v>
      </c>
      <c r="J58" s="7"/>
      <c r="K58" s="4">
        <f t="shared" si="10"/>
        <v>5274000</v>
      </c>
      <c r="L58" s="4">
        <v>24000</v>
      </c>
      <c r="M58" s="7">
        <v>5250000</v>
      </c>
      <c r="N58" s="6"/>
      <c r="O58" s="7"/>
      <c r="P58" s="7">
        <v>24000</v>
      </c>
      <c r="Q58" s="8">
        <f t="shared" si="7"/>
        <v>57646208.649999999</v>
      </c>
      <c r="T58" s="57"/>
    </row>
    <row r="59" spans="1:20" s="19" customFormat="1" ht="49.5" customHeight="1" x14ac:dyDescent="0.2">
      <c r="A59" s="40" t="s">
        <v>178</v>
      </c>
      <c r="B59" s="45"/>
      <c r="C59" s="40" t="s">
        <v>75</v>
      </c>
      <c r="D59" s="90" t="s">
        <v>380</v>
      </c>
      <c r="E59" s="13"/>
      <c r="F59" s="4">
        <f t="shared" si="3"/>
        <v>44000</v>
      </c>
      <c r="G59" s="6">
        <v>44000</v>
      </c>
      <c r="H59" s="7">
        <v>44000</v>
      </c>
      <c r="I59" s="7"/>
      <c r="J59" s="7"/>
      <c r="K59" s="4">
        <f t="shared" si="10"/>
        <v>24000</v>
      </c>
      <c r="L59" s="4">
        <v>24000</v>
      </c>
      <c r="M59" s="7"/>
      <c r="N59" s="6"/>
      <c r="O59" s="7"/>
      <c r="P59" s="7">
        <f>L59</f>
        <v>24000</v>
      </c>
      <c r="Q59" s="8">
        <f t="shared" si="7"/>
        <v>68000</v>
      </c>
      <c r="T59" s="57"/>
    </row>
    <row r="60" spans="1:20" s="19" customFormat="1" ht="80.25" customHeight="1" x14ac:dyDescent="0.2">
      <c r="A60" s="40" t="s">
        <v>180</v>
      </c>
      <c r="B60" s="45">
        <v>1011020</v>
      </c>
      <c r="C60" s="40" t="s">
        <v>76</v>
      </c>
      <c r="D60" s="92" t="s">
        <v>368</v>
      </c>
      <c r="E60" s="13" t="s">
        <v>40</v>
      </c>
      <c r="F60" s="110">
        <f t="shared" si="3"/>
        <v>148052279.34999999</v>
      </c>
      <c r="G60" s="113">
        <f>129244300+5500000+20000-82000+1756304+30000+20+116651+49300-450000+10400+5000+3880000+40000+1835+539500+1547075+4200000+198550+340000+150000+65000+200000+90121.35+341710+102513+3000000+6000-2000000-1000000+150000</f>
        <v>148052279.34999999</v>
      </c>
      <c r="H60" s="125">
        <f>107482000+1756304+20-450000+470600+3880000+4200000+90121.35+3000000-2000000-1000000+150000</f>
        <v>117579045.34999999</v>
      </c>
      <c r="I60" s="7">
        <v>17195720</v>
      </c>
      <c r="J60" s="7"/>
      <c r="K60" s="4">
        <f t="shared" si="10"/>
        <v>4257767</v>
      </c>
      <c r="L60" s="4">
        <f>70500+82000+211450+10000+283213+350300+450000+25000+1391242+410053-415000-124500+730901+73091+145600+195000-341710-102513+10000</f>
        <v>3454627</v>
      </c>
      <c r="M60" s="7">
        <v>803140</v>
      </c>
      <c r="N60" s="6">
        <v>146400</v>
      </c>
      <c r="O60" s="7">
        <v>172470</v>
      </c>
      <c r="P60" s="7">
        <f>L60</f>
        <v>3454627</v>
      </c>
      <c r="Q60" s="8">
        <f t="shared" si="7"/>
        <v>152310046.34999999</v>
      </c>
      <c r="T60" s="57"/>
    </row>
    <row r="61" spans="1:20" s="19" customFormat="1" ht="26.25" customHeight="1" x14ac:dyDescent="0.2">
      <c r="A61" s="40" t="s">
        <v>180</v>
      </c>
      <c r="B61" s="45">
        <v>1011020</v>
      </c>
      <c r="C61" s="40" t="s">
        <v>76</v>
      </c>
      <c r="D61" s="90" t="s">
        <v>337</v>
      </c>
      <c r="E61" s="13" t="s">
        <v>54</v>
      </c>
      <c r="F61" s="4">
        <f t="shared" si="3"/>
        <v>82366520</v>
      </c>
      <c r="G61" s="6">
        <v>82366520</v>
      </c>
      <c r="H61" s="7">
        <f>G61</f>
        <v>82366520</v>
      </c>
      <c r="I61" s="7"/>
      <c r="J61" s="7"/>
      <c r="K61" s="4">
        <f t="shared" si="10"/>
        <v>0</v>
      </c>
      <c r="L61" s="4"/>
      <c r="M61" s="7"/>
      <c r="N61" s="6"/>
      <c r="O61" s="7"/>
      <c r="P61" s="7"/>
      <c r="Q61" s="8">
        <f t="shared" si="7"/>
        <v>82366520</v>
      </c>
      <c r="T61" s="57"/>
    </row>
    <row r="62" spans="1:20" s="19" customFormat="1" ht="52.5" customHeight="1" x14ac:dyDescent="0.2">
      <c r="A62" s="40" t="s">
        <v>180</v>
      </c>
      <c r="B62" s="45">
        <v>1011020</v>
      </c>
      <c r="C62" s="40" t="s">
        <v>76</v>
      </c>
      <c r="D62" s="90" t="s">
        <v>380</v>
      </c>
      <c r="E62" s="13"/>
      <c r="F62" s="4">
        <f>G62+J62</f>
        <v>297100</v>
      </c>
      <c r="G62" s="6">
        <v>297100</v>
      </c>
      <c r="H62" s="7">
        <v>255800</v>
      </c>
      <c r="I62" s="7"/>
      <c r="J62" s="7"/>
      <c r="K62" s="4">
        <f t="shared" si="10"/>
        <v>96400</v>
      </c>
      <c r="L62" s="4">
        <f>120400-24000</f>
        <v>96400</v>
      </c>
      <c r="M62" s="7"/>
      <c r="N62" s="6"/>
      <c r="O62" s="7"/>
      <c r="P62" s="7">
        <f>L62</f>
        <v>96400</v>
      </c>
      <c r="Q62" s="8">
        <f t="shared" si="7"/>
        <v>393500</v>
      </c>
      <c r="T62" s="57"/>
    </row>
    <row r="63" spans="1:20" s="19" customFormat="1" ht="28.5" customHeight="1" x14ac:dyDescent="0.2">
      <c r="A63" s="40" t="s">
        <v>180</v>
      </c>
      <c r="B63" s="45"/>
      <c r="C63" s="40" t="s">
        <v>76</v>
      </c>
      <c r="D63" s="90" t="s">
        <v>381</v>
      </c>
      <c r="E63" s="13"/>
      <c r="F63" s="4">
        <f>G63+J63</f>
        <v>6084900</v>
      </c>
      <c r="G63" s="6">
        <f>3084900+3000000</f>
        <v>6084900</v>
      </c>
      <c r="H63" s="7">
        <f>3084900+3000000</f>
        <v>6084900</v>
      </c>
      <c r="I63" s="7"/>
      <c r="J63" s="7"/>
      <c r="K63" s="4">
        <f t="shared" si="10"/>
        <v>0</v>
      </c>
      <c r="L63" s="4"/>
      <c r="M63" s="7"/>
      <c r="N63" s="6"/>
      <c r="O63" s="7"/>
      <c r="P63" s="7"/>
      <c r="Q63" s="8">
        <f t="shared" si="7"/>
        <v>6084900</v>
      </c>
      <c r="T63" s="57"/>
    </row>
    <row r="64" spans="1:20" s="19" customFormat="1" ht="51" customHeight="1" x14ac:dyDescent="0.2">
      <c r="A64" s="40" t="s">
        <v>181</v>
      </c>
      <c r="B64" s="45">
        <v>1011090</v>
      </c>
      <c r="C64" s="40" t="s">
        <v>77</v>
      </c>
      <c r="D64" s="91" t="s">
        <v>107</v>
      </c>
      <c r="E64" s="13" t="s">
        <v>7</v>
      </c>
      <c r="F64" s="4">
        <f t="shared" si="3"/>
        <v>7505000</v>
      </c>
      <c r="G64" s="6">
        <f>6860500+35000+9000+200500+200000+30000+170000</f>
        <v>7505000</v>
      </c>
      <c r="H64" s="7">
        <f>5965800+200500+200000+170000</f>
        <v>6536300</v>
      </c>
      <c r="I64" s="7">
        <v>612590</v>
      </c>
      <c r="J64" s="7"/>
      <c r="K64" s="4">
        <f t="shared" si="10"/>
        <v>20300</v>
      </c>
      <c r="L64" s="4"/>
      <c r="M64" s="7">
        <v>20300</v>
      </c>
      <c r="N64" s="6"/>
      <c r="O64" s="7"/>
      <c r="P64" s="7"/>
      <c r="Q64" s="8">
        <f t="shared" si="7"/>
        <v>7525300</v>
      </c>
      <c r="T64" s="57"/>
    </row>
    <row r="65" spans="1:20" s="19" customFormat="1" ht="30" customHeight="1" x14ac:dyDescent="0.2">
      <c r="A65" s="40" t="s">
        <v>182</v>
      </c>
      <c r="B65" s="40" t="s">
        <v>95</v>
      </c>
      <c r="C65" s="40" t="s">
        <v>78</v>
      </c>
      <c r="D65" s="92" t="s">
        <v>183</v>
      </c>
      <c r="E65" s="13" t="s">
        <v>8</v>
      </c>
      <c r="F65" s="4">
        <f t="shared" si="3"/>
        <v>1278700</v>
      </c>
      <c r="G65" s="6">
        <f>1228700+20000+30000</f>
        <v>1278700</v>
      </c>
      <c r="H65" s="7">
        <f>1098000+20000+30000</f>
        <v>1148000</v>
      </c>
      <c r="I65" s="7">
        <v>106300</v>
      </c>
      <c r="J65" s="7"/>
      <c r="K65" s="4">
        <f t="shared" si="10"/>
        <v>0</v>
      </c>
      <c r="L65" s="4"/>
      <c r="M65" s="7"/>
      <c r="N65" s="6"/>
      <c r="O65" s="7"/>
      <c r="P65" s="7"/>
      <c r="Q65" s="8">
        <f t="shared" si="7"/>
        <v>1278700</v>
      </c>
      <c r="T65" s="57"/>
    </row>
    <row r="66" spans="1:20" s="19" customFormat="1" ht="30" customHeight="1" x14ac:dyDescent="0.2">
      <c r="A66" s="40" t="s">
        <v>267</v>
      </c>
      <c r="B66" s="41" t="s">
        <v>268</v>
      </c>
      <c r="C66" s="41" t="s">
        <v>78</v>
      </c>
      <c r="D66" s="109" t="s">
        <v>269</v>
      </c>
      <c r="E66" s="20"/>
      <c r="F66" s="9">
        <f t="shared" si="3"/>
        <v>3411510</v>
      </c>
      <c r="G66" s="6">
        <f>5103350-1804840+53000+60000</f>
        <v>3411510</v>
      </c>
      <c r="H66" s="7">
        <f>3980250-1076650+53000+60000</f>
        <v>3016600</v>
      </c>
      <c r="I66" s="7">
        <f>313900-215690</f>
        <v>98210</v>
      </c>
      <c r="J66" s="7"/>
      <c r="K66" s="4"/>
      <c r="L66" s="4"/>
      <c r="M66" s="7"/>
      <c r="N66" s="6"/>
      <c r="O66" s="7"/>
      <c r="P66" s="7"/>
      <c r="Q66" s="8">
        <f t="shared" si="7"/>
        <v>3411510</v>
      </c>
      <c r="T66" s="57"/>
    </row>
    <row r="67" spans="1:20" s="19" customFormat="1" ht="0.75" hidden="1" customHeight="1" x14ac:dyDescent="0.2">
      <c r="I67" s="7"/>
      <c r="J67" s="7"/>
      <c r="K67" s="4"/>
      <c r="L67" s="4"/>
      <c r="M67" s="7"/>
      <c r="N67" s="6"/>
      <c r="O67" s="7"/>
      <c r="P67" s="7"/>
      <c r="Q67" s="8">
        <f>F70+K67</f>
        <v>1040200</v>
      </c>
      <c r="T67" s="57"/>
    </row>
    <row r="68" spans="1:20" s="19" customFormat="1" ht="25.15" customHeight="1" x14ac:dyDescent="0.2">
      <c r="A68" s="40" t="s">
        <v>314</v>
      </c>
      <c r="B68" s="40" t="s">
        <v>96</v>
      </c>
      <c r="C68" s="40" t="s">
        <v>78</v>
      </c>
      <c r="D68" s="89" t="s">
        <v>315</v>
      </c>
      <c r="E68" s="13"/>
      <c r="F68" s="4">
        <f t="shared" si="3"/>
        <v>21720</v>
      </c>
      <c r="G68" s="6">
        <v>21720</v>
      </c>
      <c r="H68" s="7"/>
      <c r="I68" s="7"/>
      <c r="J68" s="7"/>
      <c r="K68" s="4">
        <f t="shared" si="10"/>
        <v>0</v>
      </c>
      <c r="L68" s="4"/>
      <c r="M68" s="7"/>
      <c r="N68" s="6"/>
      <c r="O68" s="7"/>
      <c r="P68" s="7"/>
      <c r="Q68" s="8">
        <f t="shared" si="7"/>
        <v>21720</v>
      </c>
      <c r="T68" s="57"/>
    </row>
    <row r="69" spans="1:20" s="19" customFormat="1" ht="36.75" customHeight="1" x14ac:dyDescent="0.2">
      <c r="A69" s="40" t="s">
        <v>393</v>
      </c>
      <c r="B69" s="43"/>
      <c r="C69" s="43" t="s">
        <v>78</v>
      </c>
      <c r="D69" s="119" t="s">
        <v>394</v>
      </c>
      <c r="E69" s="11"/>
      <c r="F69" s="22">
        <f>G69+J69</f>
        <v>1322840</v>
      </c>
      <c r="G69" s="6">
        <f>1804840+3000-485000</f>
        <v>1322840</v>
      </c>
      <c r="H69" s="7">
        <f>1076650+3000</f>
        <v>1079650</v>
      </c>
      <c r="I69" s="7">
        <v>215690</v>
      </c>
      <c r="J69" s="7"/>
      <c r="K69" s="4">
        <f>L69</f>
        <v>519000</v>
      </c>
      <c r="L69" s="4">
        <f>34000+485000</f>
        <v>519000</v>
      </c>
      <c r="M69" s="7"/>
      <c r="N69" s="6"/>
      <c r="O69" s="7"/>
      <c r="P69" s="7">
        <f>L69</f>
        <v>519000</v>
      </c>
      <c r="Q69" s="8">
        <f t="shared" si="7"/>
        <v>1841840</v>
      </c>
      <c r="T69" s="57"/>
    </row>
    <row r="70" spans="1:20" s="19" customFormat="1" ht="51.75" customHeight="1" x14ac:dyDescent="0.2">
      <c r="A70" s="40" t="s">
        <v>393</v>
      </c>
      <c r="B70" s="41"/>
      <c r="C70" s="41" t="s">
        <v>78</v>
      </c>
      <c r="D70" s="109" t="s">
        <v>379</v>
      </c>
      <c r="E70" s="20"/>
      <c r="F70" s="9">
        <f>G70+J67</f>
        <v>1040200</v>
      </c>
      <c r="G70" s="6">
        <v>1040200</v>
      </c>
      <c r="H70" s="7">
        <v>1040200</v>
      </c>
      <c r="I70" s="7"/>
      <c r="J70" s="7"/>
      <c r="K70" s="4">
        <f t="shared" si="10"/>
        <v>0</v>
      </c>
      <c r="L70" s="4"/>
      <c r="M70" s="7"/>
      <c r="N70" s="6"/>
      <c r="O70" s="7"/>
      <c r="P70" s="7"/>
      <c r="Q70" s="8">
        <f t="shared" si="7"/>
        <v>1040200</v>
      </c>
      <c r="T70" s="57"/>
    </row>
    <row r="71" spans="1:20" s="19" customFormat="1" ht="37.9" customHeight="1" x14ac:dyDescent="0.2">
      <c r="A71" s="40" t="s">
        <v>184</v>
      </c>
      <c r="B71" s="43" t="s">
        <v>125</v>
      </c>
      <c r="C71" s="43" t="s">
        <v>79</v>
      </c>
      <c r="D71" s="96" t="s">
        <v>108</v>
      </c>
      <c r="E71" s="11" t="s">
        <v>44</v>
      </c>
      <c r="F71" s="22">
        <f t="shared" si="3"/>
        <v>5349300</v>
      </c>
      <c r="G71" s="6">
        <f>5018300+25000+118500+5000+120000+37500+25000</f>
        <v>5349300</v>
      </c>
      <c r="H71" s="7">
        <f>3757600+118500+120000</f>
        <v>3996100</v>
      </c>
      <c r="I71" s="7">
        <v>757700</v>
      </c>
      <c r="J71" s="7"/>
      <c r="K71" s="4">
        <f t="shared" si="10"/>
        <v>0</v>
      </c>
      <c r="L71" s="4"/>
      <c r="M71" s="7"/>
      <c r="N71" s="6"/>
      <c r="O71" s="7"/>
      <c r="P71" s="7"/>
      <c r="Q71" s="8">
        <f t="shared" si="7"/>
        <v>5349300</v>
      </c>
      <c r="T71" s="57"/>
    </row>
    <row r="72" spans="1:20" s="19" customFormat="1" ht="23.25" customHeight="1" x14ac:dyDescent="0.2">
      <c r="A72" s="40" t="s">
        <v>414</v>
      </c>
      <c r="B72" s="43"/>
      <c r="C72" s="43" t="s">
        <v>72</v>
      </c>
      <c r="D72" s="96" t="s">
        <v>145</v>
      </c>
      <c r="E72" s="11"/>
      <c r="F72" s="22">
        <v>0</v>
      </c>
      <c r="G72" s="6"/>
      <c r="H72" s="7"/>
      <c r="I72" s="7"/>
      <c r="J72" s="7"/>
      <c r="K72" s="110">
        <f t="shared" si="10"/>
        <v>4845.29</v>
      </c>
      <c r="L72" s="110"/>
      <c r="M72" s="112">
        <v>4845.29</v>
      </c>
      <c r="N72" s="6"/>
      <c r="O72" s="7"/>
      <c r="P72" s="7"/>
      <c r="Q72" s="114">
        <f t="shared" si="7"/>
        <v>4845.29</v>
      </c>
      <c r="T72" s="57"/>
    </row>
    <row r="73" spans="1:20" s="19" customFormat="1" ht="19.899999999999999" customHeight="1" x14ac:dyDescent="0.2">
      <c r="A73" s="40" t="s">
        <v>325</v>
      </c>
      <c r="B73" s="43"/>
      <c r="C73" s="43" t="s">
        <v>85</v>
      </c>
      <c r="D73" s="96" t="s">
        <v>326</v>
      </c>
      <c r="E73" s="11"/>
      <c r="F73" s="22">
        <f t="shared" si="3"/>
        <v>0</v>
      </c>
      <c r="G73" s="6"/>
      <c r="H73" s="7"/>
      <c r="I73" s="7"/>
      <c r="J73" s="7"/>
      <c r="K73" s="4">
        <f t="shared" si="10"/>
        <v>625847</v>
      </c>
      <c r="L73" s="4">
        <f>144000+2000000+3800000+1140000+97624+344223-1960000-2300000-1500000-690000-450000</f>
        <v>625847</v>
      </c>
      <c r="M73" s="7"/>
      <c r="N73" s="6"/>
      <c r="O73" s="7"/>
      <c r="P73" s="7">
        <f>L73</f>
        <v>625847</v>
      </c>
      <c r="Q73" s="8">
        <f t="shared" si="7"/>
        <v>625847</v>
      </c>
      <c r="T73" s="57"/>
    </row>
    <row r="74" spans="1:20" s="19" customFormat="1" ht="65.45" customHeight="1" x14ac:dyDescent="0.2">
      <c r="A74" s="40" t="s">
        <v>323</v>
      </c>
      <c r="B74" s="40" t="s">
        <v>324</v>
      </c>
      <c r="C74" s="40" t="s">
        <v>247</v>
      </c>
      <c r="D74" s="92" t="s">
        <v>369</v>
      </c>
      <c r="E74" s="11"/>
      <c r="F74" s="22">
        <f t="shared" si="3"/>
        <v>0</v>
      </c>
      <c r="G74" s="6">
        <v>0</v>
      </c>
      <c r="H74" s="7"/>
      <c r="I74" s="7"/>
      <c r="J74" s="7"/>
      <c r="K74" s="110">
        <f t="shared" si="10"/>
        <v>996566.95</v>
      </c>
      <c r="L74" s="110">
        <f>850000+142297.95+4269</f>
        <v>996566.95</v>
      </c>
      <c r="M74" s="7"/>
      <c r="N74" s="6"/>
      <c r="O74" s="7"/>
      <c r="P74" s="112">
        <f>L74</f>
        <v>996566.95</v>
      </c>
      <c r="Q74" s="114">
        <f t="shared" si="7"/>
        <v>996566.95</v>
      </c>
      <c r="T74" s="57"/>
    </row>
    <row r="75" spans="1:20" s="19" customFormat="1" ht="38.25" customHeight="1" x14ac:dyDescent="0.2">
      <c r="A75" s="40" t="s">
        <v>386</v>
      </c>
      <c r="B75" s="40"/>
      <c r="C75" s="40" t="s">
        <v>247</v>
      </c>
      <c r="D75" s="92" t="s">
        <v>387</v>
      </c>
      <c r="E75" s="11"/>
      <c r="F75" s="22">
        <f t="shared" si="3"/>
        <v>0</v>
      </c>
      <c r="G75" s="6"/>
      <c r="H75" s="7"/>
      <c r="I75" s="7"/>
      <c r="J75" s="7"/>
      <c r="K75" s="4">
        <f t="shared" si="10"/>
        <v>0</v>
      </c>
      <c r="L75" s="4"/>
      <c r="M75" s="7"/>
      <c r="N75" s="6"/>
      <c r="O75" s="7"/>
      <c r="P75" s="7"/>
      <c r="Q75" s="8">
        <f t="shared" si="7"/>
        <v>0</v>
      </c>
      <c r="T75" s="57"/>
    </row>
    <row r="76" spans="1:20" s="19" customFormat="1" ht="18" customHeight="1" x14ac:dyDescent="0.2">
      <c r="A76" s="46" t="s">
        <v>342</v>
      </c>
      <c r="B76" s="46"/>
      <c r="C76" s="46"/>
      <c r="D76" s="91" t="s">
        <v>173</v>
      </c>
      <c r="E76" s="11"/>
      <c r="F76" s="22">
        <f t="shared" si="3"/>
        <v>160000</v>
      </c>
      <c r="G76" s="6">
        <v>160000</v>
      </c>
      <c r="H76" s="7"/>
      <c r="I76" s="7"/>
      <c r="J76" s="7"/>
      <c r="K76" s="4">
        <f t="shared" si="10"/>
        <v>13054000</v>
      </c>
      <c r="L76" s="4">
        <f>12400000+784000+30000-160000</f>
        <v>13054000</v>
      </c>
      <c r="M76" s="7"/>
      <c r="N76" s="6"/>
      <c r="O76" s="7"/>
      <c r="P76" s="7">
        <f>L76</f>
        <v>13054000</v>
      </c>
      <c r="Q76" s="8">
        <f t="shared" si="7"/>
        <v>13214000</v>
      </c>
      <c r="T76" s="57"/>
    </row>
    <row r="77" spans="1:20" s="68" customFormat="1" ht="57" customHeight="1" x14ac:dyDescent="0.2">
      <c r="A77" s="38" t="s">
        <v>192</v>
      </c>
      <c r="B77" s="38" t="s">
        <v>98</v>
      </c>
      <c r="C77" s="47"/>
      <c r="D77" s="94" t="s">
        <v>33</v>
      </c>
      <c r="E77" s="67" t="s">
        <v>33</v>
      </c>
      <c r="F77" s="115">
        <f>F78</f>
        <v>198152800.53999999</v>
      </c>
      <c r="G77" s="115">
        <f t="shared" ref="G77:P77" si="11">G78</f>
        <v>198152800.53999999</v>
      </c>
      <c r="H77" s="3">
        <f t="shared" si="11"/>
        <v>20876800</v>
      </c>
      <c r="I77" s="3">
        <f t="shared" si="11"/>
        <v>658780</v>
      </c>
      <c r="J77" s="3">
        <f t="shared" si="11"/>
        <v>0</v>
      </c>
      <c r="K77" s="115">
        <f t="shared" si="11"/>
        <v>323000</v>
      </c>
      <c r="L77" s="3">
        <f t="shared" si="11"/>
        <v>190000</v>
      </c>
      <c r="M77" s="3">
        <f t="shared" si="11"/>
        <v>133000</v>
      </c>
      <c r="N77" s="3">
        <f t="shared" si="11"/>
        <v>112630</v>
      </c>
      <c r="O77" s="3">
        <f t="shared" si="11"/>
        <v>0</v>
      </c>
      <c r="P77" s="3">
        <f t="shared" si="11"/>
        <v>190000</v>
      </c>
      <c r="Q77" s="116">
        <f t="shared" si="7"/>
        <v>198475800.53999999</v>
      </c>
      <c r="T77" s="62"/>
    </row>
    <row r="78" spans="1:20" s="68" customFormat="1" ht="33.75" customHeight="1" x14ac:dyDescent="0.2">
      <c r="A78" s="39" t="s">
        <v>194</v>
      </c>
      <c r="B78" s="39" t="s">
        <v>193</v>
      </c>
      <c r="C78" s="40"/>
      <c r="D78" s="95" t="str">
        <f>D77</f>
        <v>Управління праці та соціального захисту населення  міської ради</v>
      </c>
      <c r="E78" s="70"/>
      <c r="F78" s="110">
        <f>G78+J78</f>
        <v>198152800.53999999</v>
      </c>
      <c r="G78" s="110">
        <f>G79+G80+G81+G82+G83+G84+G85+G86+G87+G88+G89+G98+G100+G101+G102+G103+G104+G106+G107+G108+G109+G110+G111+G113+G114+G112+G115+G105</f>
        <v>198152800.53999999</v>
      </c>
      <c r="H78" s="4">
        <f t="shared" ref="H78:P78" si="12">H79+H80+H81+H82+H83+H84+H85+H86+H87+H88+H89+H98+H100+H101+H102+H103+H104+H106+H107+H108+H109+H110+H111+H113+H114+H112+H115</f>
        <v>20876800</v>
      </c>
      <c r="I78" s="4">
        <f t="shared" si="12"/>
        <v>658780</v>
      </c>
      <c r="J78" s="4">
        <f t="shared" si="12"/>
        <v>0</v>
      </c>
      <c r="K78" s="110">
        <f t="shared" si="12"/>
        <v>323000</v>
      </c>
      <c r="L78" s="4">
        <f t="shared" si="12"/>
        <v>190000</v>
      </c>
      <c r="M78" s="4">
        <f t="shared" si="12"/>
        <v>133000</v>
      </c>
      <c r="N78" s="4">
        <f t="shared" si="12"/>
        <v>112630</v>
      </c>
      <c r="O78" s="4">
        <f t="shared" si="12"/>
        <v>0</v>
      </c>
      <c r="P78" s="4">
        <f t="shared" si="12"/>
        <v>190000</v>
      </c>
      <c r="Q78" s="8">
        <f t="shared" si="7"/>
        <v>198475800.53999999</v>
      </c>
      <c r="T78" s="62"/>
    </row>
    <row r="79" spans="1:20" s="19" customFormat="1" ht="51" customHeight="1" x14ac:dyDescent="0.2">
      <c r="A79" s="40" t="s">
        <v>195</v>
      </c>
      <c r="B79" s="45">
        <v>1510180</v>
      </c>
      <c r="C79" s="40" t="s">
        <v>63</v>
      </c>
      <c r="D79" s="88" t="s">
        <v>365</v>
      </c>
      <c r="E79" s="13" t="s">
        <v>2</v>
      </c>
      <c r="F79" s="4">
        <f t="shared" si="3"/>
        <v>14941000</v>
      </c>
      <c r="G79" s="7">
        <f>14951000-10000</f>
        <v>14941000</v>
      </c>
      <c r="H79" s="7">
        <v>14056400</v>
      </c>
      <c r="I79" s="7">
        <f>272800+3600</f>
        <v>276400</v>
      </c>
      <c r="J79" s="7"/>
      <c r="K79" s="4">
        <f t="shared" ref="K79:K88" si="13">M79+P79</f>
        <v>0</v>
      </c>
      <c r="L79" s="4"/>
      <c r="M79" s="7"/>
      <c r="N79" s="7"/>
      <c r="O79" s="7"/>
      <c r="P79" s="7"/>
      <c r="Q79" s="8">
        <f t="shared" si="7"/>
        <v>14941000</v>
      </c>
      <c r="T79" s="57"/>
    </row>
    <row r="80" spans="1:20" s="19" customFormat="1" ht="31.5" customHeight="1" x14ac:dyDescent="0.2">
      <c r="A80" s="40" t="s">
        <v>216</v>
      </c>
      <c r="B80" s="45">
        <v>1518600</v>
      </c>
      <c r="C80" s="40" t="s">
        <v>74</v>
      </c>
      <c r="D80" s="88" t="s">
        <v>171</v>
      </c>
      <c r="E80" s="13"/>
      <c r="F80" s="4">
        <f t="shared" si="3"/>
        <v>25000</v>
      </c>
      <c r="G80" s="7">
        <f>5000+10000+10000</f>
        <v>25000</v>
      </c>
      <c r="H80" s="7"/>
      <c r="I80" s="7"/>
      <c r="J80" s="7"/>
      <c r="K80" s="4">
        <f t="shared" si="13"/>
        <v>0</v>
      </c>
      <c r="L80" s="4"/>
      <c r="M80" s="7"/>
      <c r="N80" s="7"/>
      <c r="O80" s="7"/>
      <c r="P80" s="7"/>
      <c r="Q80" s="8">
        <f t="shared" si="7"/>
        <v>25000</v>
      </c>
      <c r="T80" s="57"/>
    </row>
    <row r="81" spans="1:20" s="68" customFormat="1" ht="46.9" customHeight="1" x14ac:dyDescent="0.2">
      <c r="A81" s="40" t="s">
        <v>196</v>
      </c>
      <c r="B81" s="45">
        <v>1513011</v>
      </c>
      <c r="C81" s="40" t="s">
        <v>80</v>
      </c>
      <c r="D81" s="92" t="s">
        <v>197</v>
      </c>
      <c r="E81" s="13" t="s">
        <v>29</v>
      </c>
      <c r="F81" s="110">
        <f t="shared" si="3"/>
        <v>18824569.690000001</v>
      </c>
      <c r="G81" s="113">
        <f>22000000-2383943-791487.31</f>
        <v>18824569.690000001</v>
      </c>
      <c r="H81" s="6"/>
      <c r="I81" s="6"/>
      <c r="J81" s="6"/>
      <c r="K81" s="4">
        <f t="shared" si="13"/>
        <v>0</v>
      </c>
      <c r="L81" s="4"/>
      <c r="M81" s="6"/>
      <c r="N81" s="6"/>
      <c r="O81" s="6"/>
      <c r="P81" s="6"/>
      <c r="Q81" s="8">
        <f t="shared" si="7"/>
        <v>18824569.690000001</v>
      </c>
      <c r="T81" s="62"/>
    </row>
    <row r="82" spans="1:20" s="68" customFormat="1" ht="40.5" customHeight="1" x14ac:dyDescent="0.2">
      <c r="A82" s="40" t="s">
        <v>200</v>
      </c>
      <c r="B82" s="45">
        <v>1513016</v>
      </c>
      <c r="C82" s="40" t="s">
        <v>82</v>
      </c>
      <c r="D82" s="92" t="s">
        <v>120</v>
      </c>
      <c r="E82" s="13" t="s">
        <v>22</v>
      </c>
      <c r="F82" s="110">
        <f t="shared" ref="F82:F88" si="14">G82+J82</f>
        <v>43815050.850000001</v>
      </c>
      <c r="G82" s="110">
        <f>90112400-46972565+675215.85</f>
        <v>43815050.850000001</v>
      </c>
      <c r="H82" s="4"/>
      <c r="I82" s="6"/>
      <c r="J82" s="6"/>
      <c r="K82" s="4">
        <f t="shared" si="13"/>
        <v>0</v>
      </c>
      <c r="L82" s="4"/>
      <c r="M82" s="6"/>
      <c r="N82" s="6"/>
      <c r="O82" s="6"/>
      <c r="P82" s="6"/>
      <c r="Q82" s="8">
        <f>F82+K82</f>
        <v>43815050.850000001</v>
      </c>
      <c r="T82" s="62"/>
    </row>
    <row r="83" spans="1:20" s="68" customFormat="1" ht="64.5" customHeight="1" x14ac:dyDescent="0.2">
      <c r="A83" s="40" t="s">
        <v>198</v>
      </c>
      <c r="B83" s="45">
        <v>1513021</v>
      </c>
      <c r="C83" s="40" t="s">
        <v>80</v>
      </c>
      <c r="D83" s="92" t="s">
        <v>199</v>
      </c>
      <c r="E83" s="71" t="s">
        <v>18</v>
      </c>
      <c r="F83" s="4">
        <f t="shared" si="14"/>
        <v>85200</v>
      </c>
      <c r="G83" s="6">
        <v>85200</v>
      </c>
      <c r="H83" s="6"/>
      <c r="I83" s="6"/>
      <c r="J83" s="6"/>
      <c r="K83" s="4">
        <f t="shared" si="13"/>
        <v>0</v>
      </c>
      <c r="L83" s="4"/>
      <c r="M83" s="6"/>
      <c r="N83" s="6"/>
      <c r="O83" s="6"/>
      <c r="P83" s="6"/>
      <c r="Q83" s="8">
        <f t="shared" si="7"/>
        <v>85200</v>
      </c>
      <c r="T83" s="62"/>
    </row>
    <row r="84" spans="1:20" s="68" customFormat="1" ht="69.75" customHeight="1" x14ac:dyDescent="0.2">
      <c r="A84" s="40" t="s">
        <v>201</v>
      </c>
      <c r="B84" s="45">
        <v>1513026</v>
      </c>
      <c r="C84" s="40" t="s">
        <v>82</v>
      </c>
      <c r="D84" s="92" t="s">
        <v>121</v>
      </c>
      <c r="E84" s="13" t="s">
        <v>43</v>
      </c>
      <c r="F84" s="4">
        <f t="shared" si="14"/>
        <v>839100</v>
      </c>
      <c r="G84" s="6">
        <v>839100</v>
      </c>
      <c r="H84" s="6"/>
      <c r="I84" s="6"/>
      <c r="J84" s="6"/>
      <c r="K84" s="4">
        <f t="shared" si="13"/>
        <v>0</v>
      </c>
      <c r="L84" s="4"/>
      <c r="M84" s="6"/>
      <c r="N84" s="6"/>
      <c r="O84" s="6"/>
      <c r="P84" s="6"/>
      <c r="Q84" s="8">
        <f>F84+K84</f>
        <v>839100</v>
      </c>
      <c r="T84" s="62"/>
    </row>
    <row r="85" spans="1:20" s="68" customFormat="1" ht="33" customHeight="1" x14ac:dyDescent="0.2">
      <c r="A85" s="40" t="s">
        <v>250</v>
      </c>
      <c r="B85" s="45">
        <v>1513033</v>
      </c>
      <c r="C85" s="40" t="s">
        <v>80</v>
      </c>
      <c r="D85" s="91" t="s">
        <v>256</v>
      </c>
      <c r="E85" s="13"/>
      <c r="F85" s="4">
        <f t="shared" si="14"/>
        <v>519</v>
      </c>
      <c r="G85" s="6">
        <v>519</v>
      </c>
      <c r="H85" s="6"/>
      <c r="I85" s="6"/>
      <c r="J85" s="6"/>
      <c r="K85" s="4">
        <f t="shared" si="13"/>
        <v>0</v>
      </c>
      <c r="L85" s="4"/>
      <c r="M85" s="6"/>
      <c r="N85" s="6"/>
      <c r="O85" s="6"/>
      <c r="P85" s="6"/>
      <c r="Q85" s="8">
        <f>F85+K85</f>
        <v>519</v>
      </c>
      <c r="T85" s="62"/>
    </row>
    <row r="86" spans="1:20" s="68" customFormat="1" ht="31.9" customHeight="1" x14ac:dyDescent="0.2">
      <c r="A86" s="40" t="s">
        <v>251</v>
      </c>
      <c r="B86" s="45">
        <v>1513034</v>
      </c>
      <c r="C86" s="40" t="s">
        <v>81</v>
      </c>
      <c r="D86" s="91" t="s">
        <v>354</v>
      </c>
      <c r="E86" s="13"/>
      <c r="F86" s="4">
        <f t="shared" si="14"/>
        <v>423615</v>
      </c>
      <c r="G86" s="6">
        <f>423001+614</f>
        <v>423615</v>
      </c>
      <c r="H86" s="6"/>
      <c r="I86" s="6"/>
      <c r="J86" s="6"/>
      <c r="K86" s="4">
        <f t="shared" si="13"/>
        <v>0</v>
      </c>
      <c r="L86" s="4"/>
      <c r="M86" s="6"/>
      <c r="N86" s="6"/>
      <c r="O86" s="6"/>
      <c r="P86" s="6"/>
      <c r="Q86" s="8">
        <f>F86+K86</f>
        <v>423615</v>
      </c>
      <c r="T86" s="62"/>
    </row>
    <row r="87" spans="1:20" s="68" customFormat="1" ht="48.6" customHeight="1" x14ac:dyDescent="0.2">
      <c r="A87" s="40" t="s">
        <v>252</v>
      </c>
      <c r="B87" s="45">
        <v>1513035</v>
      </c>
      <c r="C87" s="40" t="s">
        <v>81</v>
      </c>
      <c r="D87" s="91" t="s">
        <v>254</v>
      </c>
      <c r="E87" s="13"/>
      <c r="F87" s="4">
        <f t="shared" si="14"/>
        <v>1800000</v>
      </c>
      <c r="G87" s="6">
        <f>800000+200000+400000+400000</f>
        <v>1800000</v>
      </c>
      <c r="H87" s="6"/>
      <c r="I87" s="6"/>
      <c r="J87" s="6"/>
      <c r="K87" s="4">
        <f t="shared" si="13"/>
        <v>0</v>
      </c>
      <c r="L87" s="4"/>
      <c r="M87" s="6"/>
      <c r="N87" s="6"/>
      <c r="O87" s="6"/>
      <c r="P87" s="6"/>
      <c r="Q87" s="8">
        <f>F87+K87</f>
        <v>1800000</v>
      </c>
      <c r="T87" s="62"/>
    </row>
    <row r="88" spans="1:20" s="68" customFormat="1" ht="48.6" customHeight="1" x14ac:dyDescent="0.2">
      <c r="A88" s="40" t="s">
        <v>253</v>
      </c>
      <c r="B88" s="45">
        <v>1513037</v>
      </c>
      <c r="C88" s="40" t="s">
        <v>81</v>
      </c>
      <c r="D88" s="91" t="s">
        <v>255</v>
      </c>
      <c r="E88" s="13"/>
      <c r="F88" s="4">
        <f t="shared" si="14"/>
        <v>1345246</v>
      </c>
      <c r="G88" s="6">
        <f>200000+1145246</f>
        <v>1345246</v>
      </c>
      <c r="H88" s="6"/>
      <c r="I88" s="6"/>
      <c r="J88" s="6"/>
      <c r="K88" s="4">
        <f t="shared" si="13"/>
        <v>0</v>
      </c>
      <c r="L88" s="4"/>
      <c r="M88" s="6"/>
      <c r="N88" s="6"/>
      <c r="O88" s="6"/>
      <c r="P88" s="6"/>
      <c r="Q88" s="8">
        <f>F88+K88</f>
        <v>1345246</v>
      </c>
      <c r="T88" s="62"/>
    </row>
    <row r="89" spans="1:20" s="68" customFormat="1" ht="40.5" customHeight="1" x14ac:dyDescent="0.2">
      <c r="A89" s="108">
        <v>813040</v>
      </c>
      <c r="B89" s="69"/>
      <c r="C89" s="69"/>
      <c r="D89" s="95" t="s">
        <v>37</v>
      </c>
      <c r="E89" s="13" t="s">
        <v>37</v>
      </c>
      <c r="F89" s="4">
        <f t="shared" ref="F89:F97" si="15">G89+J89</f>
        <v>65251800</v>
      </c>
      <c r="G89" s="4">
        <f>G90+G91+G92+G93+G94+G95+G96+G97</f>
        <v>65251800</v>
      </c>
      <c r="H89" s="4">
        <f t="shared" ref="H89:P89" si="16">H90+H91+H92+H93+H94+H95+H96</f>
        <v>0</v>
      </c>
      <c r="I89" s="4">
        <f t="shared" si="16"/>
        <v>0</v>
      </c>
      <c r="J89" s="4">
        <f t="shared" si="16"/>
        <v>0</v>
      </c>
      <c r="K89" s="4">
        <f t="shared" si="16"/>
        <v>0</v>
      </c>
      <c r="L89" s="4">
        <f t="shared" si="16"/>
        <v>0</v>
      </c>
      <c r="M89" s="4">
        <f t="shared" si="16"/>
        <v>0</v>
      </c>
      <c r="N89" s="4">
        <f t="shared" si="16"/>
        <v>0</v>
      </c>
      <c r="O89" s="4">
        <f t="shared" si="16"/>
        <v>0</v>
      </c>
      <c r="P89" s="4">
        <f t="shared" si="16"/>
        <v>0</v>
      </c>
      <c r="Q89" s="8">
        <f t="shared" ref="Q89:Q106" si="17">F89+K89</f>
        <v>65251800</v>
      </c>
      <c r="T89" s="62"/>
    </row>
    <row r="90" spans="1:20" s="68" customFormat="1" ht="40.5" customHeight="1" x14ac:dyDescent="0.2">
      <c r="A90" s="40" t="s">
        <v>204</v>
      </c>
      <c r="B90" s="45">
        <v>1513041</v>
      </c>
      <c r="C90" s="40" t="s">
        <v>69</v>
      </c>
      <c r="D90" s="92" t="s">
        <v>113</v>
      </c>
      <c r="E90" s="13" t="s">
        <v>42</v>
      </c>
      <c r="F90" s="4">
        <f t="shared" si="15"/>
        <v>587600</v>
      </c>
      <c r="G90" s="4">
        <v>587600</v>
      </c>
      <c r="H90" s="6"/>
      <c r="I90" s="6"/>
      <c r="J90" s="6"/>
      <c r="K90" s="4">
        <f t="shared" ref="K90:K106" si="18">M90+P90</f>
        <v>0</v>
      </c>
      <c r="L90" s="4"/>
      <c r="M90" s="6"/>
      <c r="N90" s="6"/>
      <c r="O90" s="6"/>
      <c r="P90" s="6"/>
      <c r="Q90" s="8">
        <f t="shared" si="17"/>
        <v>587600</v>
      </c>
      <c r="T90" s="62"/>
    </row>
    <row r="91" spans="1:20" s="68" customFormat="1" ht="40.5" customHeight="1" x14ac:dyDescent="0.2">
      <c r="A91" s="40" t="s">
        <v>203</v>
      </c>
      <c r="B91" s="45">
        <v>1513047</v>
      </c>
      <c r="C91" s="40" t="s">
        <v>69</v>
      </c>
      <c r="D91" s="92" t="s">
        <v>118</v>
      </c>
      <c r="E91" s="13" t="s">
        <v>30</v>
      </c>
      <c r="F91" s="4">
        <f t="shared" si="15"/>
        <v>150000</v>
      </c>
      <c r="G91" s="4">
        <v>150000</v>
      </c>
      <c r="H91" s="6"/>
      <c r="I91" s="6"/>
      <c r="J91" s="6"/>
      <c r="K91" s="4">
        <f t="shared" si="18"/>
        <v>0</v>
      </c>
      <c r="L91" s="4"/>
      <c r="M91" s="6"/>
      <c r="N91" s="6"/>
      <c r="O91" s="6"/>
      <c r="P91" s="6"/>
      <c r="Q91" s="8">
        <f t="shared" si="17"/>
        <v>150000</v>
      </c>
      <c r="T91" s="62"/>
    </row>
    <row r="92" spans="1:20" s="68" customFormat="1" ht="40.5" customHeight="1" x14ac:dyDescent="0.2">
      <c r="A92" s="40" t="s">
        <v>205</v>
      </c>
      <c r="B92" s="45">
        <v>1513043</v>
      </c>
      <c r="C92" s="40" t="s">
        <v>69</v>
      </c>
      <c r="D92" s="92" t="s">
        <v>114</v>
      </c>
      <c r="E92" s="13" t="s">
        <v>25</v>
      </c>
      <c r="F92" s="4">
        <f t="shared" si="15"/>
        <v>29060500</v>
      </c>
      <c r="G92" s="4">
        <f>31903500-1843000-1000000</f>
        <v>29060500</v>
      </c>
      <c r="H92" s="6"/>
      <c r="I92" s="6"/>
      <c r="J92" s="6"/>
      <c r="K92" s="4">
        <f t="shared" si="18"/>
        <v>0</v>
      </c>
      <c r="L92" s="4"/>
      <c r="M92" s="6"/>
      <c r="N92" s="6"/>
      <c r="O92" s="6"/>
      <c r="P92" s="6"/>
      <c r="Q92" s="8">
        <f t="shared" si="17"/>
        <v>29060500</v>
      </c>
      <c r="T92" s="62"/>
    </row>
    <row r="93" spans="1:20" s="68" customFormat="1" ht="40.5" customHeight="1" x14ac:dyDescent="0.2">
      <c r="A93" s="40" t="s">
        <v>206</v>
      </c>
      <c r="B93" s="45">
        <v>1513044</v>
      </c>
      <c r="C93" s="40" t="s">
        <v>69</v>
      </c>
      <c r="D93" s="92" t="s">
        <v>115</v>
      </c>
      <c r="E93" s="13" t="s">
        <v>23</v>
      </c>
      <c r="F93" s="4">
        <f t="shared" si="15"/>
        <v>4142500</v>
      </c>
      <c r="G93" s="4">
        <v>4142500</v>
      </c>
      <c r="H93" s="6"/>
      <c r="I93" s="6"/>
      <c r="J93" s="6"/>
      <c r="K93" s="4">
        <f t="shared" si="18"/>
        <v>0</v>
      </c>
      <c r="L93" s="4"/>
      <c r="M93" s="6"/>
      <c r="N93" s="6"/>
      <c r="O93" s="6"/>
      <c r="P93" s="6"/>
      <c r="Q93" s="8">
        <f t="shared" si="17"/>
        <v>4142500</v>
      </c>
      <c r="T93" s="62"/>
    </row>
    <row r="94" spans="1:20" s="68" customFormat="1" ht="40.5" customHeight="1" x14ac:dyDescent="0.2">
      <c r="A94" s="40" t="s">
        <v>207</v>
      </c>
      <c r="B94" s="45">
        <v>1513045</v>
      </c>
      <c r="C94" s="40" t="s">
        <v>69</v>
      </c>
      <c r="D94" s="92" t="s">
        <v>116</v>
      </c>
      <c r="E94" s="13" t="s">
        <v>31</v>
      </c>
      <c r="F94" s="4">
        <f t="shared" si="15"/>
        <v>13043500</v>
      </c>
      <c r="G94" s="6">
        <v>13043500</v>
      </c>
      <c r="H94" s="6"/>
      <c r="I94" s="6"/>
      <c r="J94" s="6"/>
      <c r="K94" s="4">
        <f t="shared" si="18"/>
        <v>0</v>
      </c>
      <c r="L94" s="4"/>
      <c r="M94" s="6"/>
      <c r="N94" s="6"/>
      <c r="O94" s="6"/>
      <c r="P94" s="6"/>
      <c r="Q94" s="8">
        <f t="shared" si="17"/>
        <v>13043500</v>
      </c>
      <c r="T94" s="62"/>
    </row>
    <row r="95" spans="1:20" s="68" customFormat="1" ht="40.5" customHeight="1" x14ac:dyDescent="0.2">
      <c r="A95" s="40" t="s">
        <v>208</v>
      </c>
      <c r="B95" s="45">
        <v>1513046</v>
      </c>
      <c r="C95" s="40" t="s">
        <v>69</v>
      </c>
      <c r="D95" s="92" t="s">
        <v>117</v>
      </c>
      <c r="E95" s="13" t="s">
        <v>17</v>
      </c>
      <c r="F95" s="4">
        <f t="shared" si="15"/>
        <v>268500</v>
      </c>
      <c r="G95" s="6">
        <v>268500</v>
      </c>
      <c r="H95" s="6"/>
      <c r="I95" s="6"/>
      <c r="J95" s="6"/>
      <c r="K95" s="4">
        <f t="shared" si="18"/>
        <v>0</v>
      </c>
      <c r="L95" s="4"/>
      <c r="M95" s="6"/>
      <c r="N95" s="6"/>
      <c r="O95" s="6"/>
      <c r="P95" s="6"/>
      <c r="Q95" s="8">
        <f t="shared" si="17"/>
        <v>268500</v>
      </c>
      <c r="T95" s="62"/>
    </row>
    <row r="96" spans="1:20" s="68" customFormat="1" ht="40.5" customHeight="1" x14ac:dyDescent="0.2">
      <c r="A96" s="40" t="s">
        <v>209</v>
      </c>
      <c r="B96" s="45">
        <v>1513048</v>
      </c>
      <c r="C96" s="40" t="s">
        <v>69</v>
      </c>
      <c r="D96" s="92" t="s">
        <v>119</v>
      </c>
      <c r="E96" s="13" t="s">
        <v>24</v>
      </c>
      <c r="F96" s="4">
        <f t="shared" si="15"/>
        <v>17909200</v>
      </c>
      <c r="G96" s="6">
        <f>18909200-1000000</f>
        <v>17909200</v>
      </c>
      <c r="H96" s="6"/>
      <c r="I96" s="6"/>
      <c r="J96" s="6"/>
      <c r="K96" s="4">
        <f t="shared" si="18"/>
        <v>0</v>
      </c>
      <c r="L96" s="4"/>
      <c r="M96" s="6"/>
      <c r="N96" s="6"/>
      <c r="O96" s="6"/>
      <c r="P96" s="6"/>
      <c r="Q96" s="8">
        <f t="shared" si="17"/>
        <v>17909200</v>
      </c>
      <c r="T96" s="62"/>
    </row>
    <row r="97" spans="1:20" s="68" customFormat="1" ht="40.5" customHeight="1" x14ac:dyDescent="0.2">
      <c r="A97" s="40" t="s">
        <v>400</v>
      </c>
      <c r="B97" s="45"/>
      <c r="C97" s="40" t="s">
        <v>69</v>
      </c>
      <c r="D97" s="92" t="s">
        <v>401</v>
      </c>
      <c r="E97" s="13"/>
      <c r="F97" s="4">
        <f t="shared" si="15"/>
        <v>90000</v>
      </c>
      <c r="G97" s="6">
        <f>60000+30000</f>
        <v>90000</v>
      </c>
      <c r="H97" s="6"/>
      <c r="I97" s="6"/>
      <c r="J97" s="6"/>
      <c r="K97" s="4"/>
      <c r="L97" s="4"/>
      <c r="M97" s="6"/>
      <c r="N97" s="6"/>
      <c r="O97" s="6"/>
      <c r="P97" s="6"/>
      <c r="Q97" s="8"/>
      <c r="T97" s="62"/>
    </row>
    <row r="98" spans="1:20" s="68" customFormat="1" ht="57" customHeight="1" x14ac:dyDescent="0.2">
      <c r="A98" s="40" t="s">
        <v>202</v>
      </c>
      <c r="B98" s="45">
        <v>1513050</v>
      </c>
      <c r="C98" s="40" t="s">
        <v>81</v>
      </c>
      <c r="D98" s="92" t="s">
        <v>112</v>
      </c>
      <c r="E98" s="13" t="s">
        <v>60</v>
      </c>
      <c r="F98" s="4">
        <f t="shared" ref="F98:F105" si="19">G98+J98</f>
        <v>85900</v>
      </c>
      <c r="G98" s="6">
        <v>85900</v>
      </c>
      <c r="H98" s="6"/>
      <c r="I98" s="6"/>
      <c r="J98" s="6"/>
      <c r="K98" s="4">
        <f t="shared" ref="K98:K104" si="20">M98+P98</f>
        <v>0</v>
      </c>
      <c r="L98" s="4"/>
      <c r="M98" s="6"/>
      <c r="N98" s="6"/>
      <c r="O98" s="6"/>
      <c r="P98" s="6"/>
      <c r="Q98" s="8">
        <f t="shared" ref="Q98:Q104" si="21">F98+K98</f>
        <v>85900</v>
      </c>
      <c r="T98" s="62"/>
    </row>
    <row r="99" spans="1:20" s="68" customFormat="1" ht="194.25" customHeight="1" x14ac:dyDescent="0.2">
      <c r="A99" s="40" t="s">
        <v>210</v>
      </c>
      <c r="B99" s="45">
        <v>1513080</v>
      </c>
      <c r="C99" s="39"/>
      <c r="D99" s="92" t="s">
        <v>397</v>
      </c>
      <c r="E99" s="13" t="s">
        <v>51</v>
      </c>
      <c r="F99" s="4">
        <f t="shared" si="19"/>
        <v>41036000</v>
      </c>
      <c r="G99" s="4">
        <f>G100+G101+G102+G103+G104+G105</f>
        <v>41036000</v>
      </c>
      <c r="H99" s="14"/>
      <c r="I99" s="7"/>
      <c r="J99" s="7"/>
      <c r="K99" s="4">
        <f t="shared" si="20"/>
        <v>0</v>
      </c>
      <c r="L99" s="4"/>
      <c r="M99" s="7"/>
      <c r="N99" s="6"/>
      <c r="O99" s="7"/>
      <c r="P99" s="7"/>
      <c r="Q99" s="8">
        <f t="shared" si="21"/>
        <v>41036000</v>
      </c>
      <c r="T99" s="62"/>
    </row>
    <row r="100" spans="1:20" s="68" customFormat="1" ht="45.75" customHeight="1" x14ac:dyDescent="0.2">
      <c r="A100" s="40" t="s">
        <v>282</v>
      </c>
      <c r="B100" s="45">
        <v>1503049</v>
      </c>
      <c r="C100" s="40" t="s">
        <v>83</v>
      </c>
      <c r="D100" s="92" t="s">
        <v>287</v>
      </c>
      <c r="E100" s="13"/>
      <c r="F100" s="4">
        <f t="shared" si="19"/>
        <v>26961300</v>
      </c>
      <c r="G100" s="4">
        <v>26961300</v>
      </c>
      <c r="H100" s="14"/>
      <c r="I100" s="7"/>
      <c r="J100" s="7"/>
      <c r="K100" s="4">
        <f t="shared" si="20"/>
        <v>0</v>
      </c>
      <c r="L100" s="4"/>
      <c r="M100" s="7"/>
      <c r="N100" s="6"/>
      <c r="O100" s="7"/>
      <c r="P100" s="7"/>
      <c r="Q100" s="8">
        <f t="shared" si="21"/>
        <v>26961300</v>
      </c>
      <c r="T100" s="62"/>
    </row>
    <row r="101" spans="1:20" s="68" customFormat="1" ht="65.45" customHeight="1" x14ac:dyDescent="0.2">
      <c r="A101" s="40" t="s">
        <v>283</v>
      </c>
      <c r="B101" s="45"/>
      <c r="C101" s="40" t="s">
        <v>83</v>
      </c>
      <c r="D101" s="92" t="s">
        <v>288</v>
      </c>
      <c r="E101" s="13"/>
      <c r="F101" s="4">
        <f t="shared" si="19"/>
        <v>5209600</v>
      </c>
      <c r="G101" s="4">
        <v>5209600</v>
      </c>
      <c r="H101" s="14"/>
      <c r="I101" s="7"/>
      <c r="J101" s="7"/>
      <c r="K101" s="4">
        <f t="shared" si="20"/>
        <v>0</v>
      </c>
      <c r="L101" s="4"/>
      <c r="M101" s="7"/>
      <c r="N101" s="6"/>
      <c r="O101" s="7"/>
      <c r="P101" s="7"/>
      <c r="Q101" s="8">
        <f t="shared" si="21"/>
        <v>5209600</v>
      </c>
      <c r="T101" s="62"/>
    </row>
    <row r="102" spans="1:20" s="68" customFormat="1" ht="45.6" customHeight="1" x14ac:dyDescent="0.2">
      <c r="A102" s="40" t="s">
        <v>284</v>
      </c>
      <c r="B102" s="45">
        <v>1513080</v>
      </c>
      <c r="C102" s="40" t="s">
        <v>83</v>
      </c>
      <c r="D102" s="92" t="s">
        <v>289</v>
      </c>
      <c r="E102" s="13"/>
      <c r="F102" s="4">
        <f t="shared" si="19"/>
        <v>4833250</v>
      </c>
      <c r="G102" s="4">
        <v>4833250</v>
      </c>
      <c r="H102" s="14"/>
      <c r="I102" s="7"/>
      <c r="J102" s="7"/>
      <c r="K102" s="4">
        <f t="shared" si="20"/>
        <v>0</v>
      </c>
      <c r="L102" s="4"/>
      <c r="M102" s="7"/>
      <c r="N102" s="6"/>
      <c r="O102" s="7"/>
      <c r="P102" s="7"/>
      <c r="Q102" s="8">
        <f t="shared" si="21"/>
        <v>4833250</v>
      </c>
      <c r="T102" s="62"/>
    </row>
    <row r="103" spans="1:20" s="68" customFormat="1" ht="68.25" customHeight="1" x14ac:dyDescent="0.2">
      <c r="A103" s="40" t="s">
        <v>285</v>
      </c>
      <c r="B103" s="45"/>
      <c r="C103" s="40" t="s">
        <v>83</v>
      </c>
      <c r="D103" s="92" t="s">
        <v>290</v>
      </c>
      <c r="E103" s="13"/>
      <c r="F103" s="4">
        <f t="shared" si="19"/>
        <v>235200</v>
      </c>
      <c r="G103" s="4">
        <f>135200+100000</f>
        <v>235200</v>
      </c>
      <c r="H103" s="14"/>
      <c r="I103" s="7"/>
      <c r="J103" s="7"/>
      <c r="K103" s="4">
        <f t="shared" si="20"/>
        <v>0</v>
      </c>
      <c r="L103" s="4"/>
      <c r="M103" s="7"/>
      <c r="N103" s="6"/>
      <c r="O103" s="7"/>
      <c r="P103" s="7"/>
      <c r="Q103" s="8">
        <f t="shared" si="21"/>
        <v>235200</v>
      </c>
      <c r="T103" s="62"/>
    </row>
    <row r="104" spans="1:20" s="68" customFormat="1" ht="81" customHeight="1" x14ac:dyDescent="0.2">
      <c r="A104" s="40" t="s">
        <v>286</v>
      </c>
      <c r="B104" s="45"/>
      <c r="C104" s="40" t="s">
        <v>83</v>
      </c>
      <c r="D104" s="92" t="s">
        <v>291</v>
      </c>
      <c r="E104" s="13"/>
      <c r="F104" s="4">
        <f t="shared" si="19"/>
        <v>143650</v>
      </c>
      <c r="G104" s="4">
        <v>143650</v>
      </c>
      <c r="H104" s="14"/>
      <c r="I104" s="7"/>
      <c r="J104" s="7"/>
      <c r="K104" s="4">
        <f t="shared" si="20"/>
        <v>0</v>
      </c>
      <c r="L104" s="4"/>
      <c r="M104" s="7"/>
      <c r="N104" s="6"/>
      <c r="O104" s="7"/>
      <c r="P104" s="7"/>
      <c r="Q104" s="8">
        <f t="shared" si="21"/>
        <v>143650</v>
      </c>
      <c r="T104" s="62"/>
    </row>
    <row r="105" spans="1:20" s="68" customFormat="1" ht="43.5" customHeight="1" x14ac:dyDescent="0.2">
      <c r="A105" s="40" t="s">
        <v>398</v>
      </c>
      <c r="B105" s="45"/>
      <c r="C105" s="40"/>
      <c r="D105" s="92" t="s">
        <v>399</v>
      </c>
      <c r="E105" s="13"/>
      <c r="F105" s="4">
        <f t="shared" si="19"/>
        <v>3653000</v>
      </c>
      <c r="G105" s="4">
        <f>1683000+1970000</f>
        <v>3653000</v>
      </c>
      <c r="H105" s="14"/>
      <c r="I105" s="7"/>
      <c r="J105" s="7"/>
      <c r="K105" s="4"/>
      <c r="L105" s="4"/>
      <c r="M105" s="7"/>
      <c r="N105" s="6"/>
      <c r="O105" s="7"/>
      <c r="P105" s="7"/>
      <c r="Q105" s="8"/>
      <c r="T105" s="62"/>
    </row>
    <row r="106" spans="1:20" s="68" customFormat="1" ht="33.6" customHeight="1" x14ac:dyDescent="0.2">
      <c r="A106" s="40" t="s">
        <v>211</v>
      </c>
      <c r="B106" s="45">
        <v>1513090</v>
      </c>
      <c r="C106" s="40" t="s">
        <v>80</v>
      </c>
      <c r="D106" s="92" t="s">
        <v>270</v>
      </c>
      <c r="E106" s="13" t="s">
        <v>32</v>
      </c>
      <c r="F106" s="4">
        <f>G106+J106</f>
        <v>82000</v>
      </c>
      <c r="G106" s="6">
        <v>82000</v>
      </c>
      <c r="H106" s="6"/>
      <c r="I106" s="6"/>
      <c r="J106" s="6"/>
      <c r="K106" s="4">
        <f t="shared" si="18"/>
        <v>0</v>
      </c>
      <c r="L106" s="4"/>
      <c r="M106" s="6"/>
      <c r="N106" s="6"/>
      <c r="O106" s="6"/>
      <c r="P106" s="6"/>
      <c r="Q106" s="8">
        <f t="shared" si="17"/>
        <v>82000</v>
      </c>
      <c r="T106" s="62"/>
    </row>
    <row r="107" spans="1:20" s="19" customFormat="1" ht="63.6" customHeight="1" x14ac:dyDescent="0.2">
      <c r="A107" s="40" t="s">
        <v>213</v>
      </c>
      <c r="B107" s="45">
        <v>1513104</v>
      </c>
      <c r="C107" s="40" t="s">
        <v>84</v>
      </c>
      <c r="D107" s="92" t="s">
        <v>122</v>
      </c>
      <c r="E107" s="13" t="s">
        <v>59</v>
      </c>
      <c r="F107" s="4">
        <f t="shared" ref="F107:F113" si="22">G107+J107</f>
        <v>5863100</v>
      </c>
      <c r="G107" s="6">
        <f>5563200+54900+5000+240000</f>
        <v>5863100</v>
      </c>
      <c r="H107" s="7">
        <f>5233600+240000</f>
        <v>5473600</v>
      </c>
      <c r="I107" s="7">
        <f>211200+1400</f>
        <v>212600</v>
      </c>
      <c r="J107" s="7"/>
      <c r="K107" s="4">
        <f t="shared" ref="K107:K115" si="23">M107+P107</f>
        <v>178000</v>
      </c>
      <c r="L107" s="4">
        <v>45000</v>
      </c>
      <c r="M107" s="7">
        <v>133000</v>
      </c>
      <c r="N107" s="6">
        <v>112630</v>
      </c>
      <c r="O107" s="7"/>
      <c r="P107" s="7">
        <v>45000</v>
      </c>
      <c r="Q107" s="8">
        <f t="shared" ref="Q107:Q115" si="24">F107+K107</f>
        <v>6041100</v>
      </c>
      <c r="T107" s="57"/>
    </row>
    <row r="108" spans="1:20" s="19" customFormat="1" ht="34.15" customHeight="1" x14ac:dyDescent="0.2">
      <c r="A108" s="40" t="s">
        <v>214</v>
      </c>
      <c r="B108" s="40" t="s">
        <v>99</v>
      </c>
      <c r="C108" s="40" t="s">
        <v>83</v>
      </c>
      <c r="D108" s="92" t="s">
        <v>271</v>
      </c>
      <c r="E108" s="12" t="s">
        <v>27</v>
      </c>
      <c r="F108" s="4">
        <f t="shared" si="22"/>
        <v>1483200</v>
      </c>
      <c r="G108" s="6">
        <v>1483200</v>
      </c>
      <c r="H108" s="7">
        <v>1226800</v>
      </c>
      <c r="I108" s="7">
        <f>168100+1680</f>
        <v>169780</v>
      </c>
      <c r="J108" s="7"/>
      <c r="K108" s="4">
        <f t="shared" si="23"/>
        <v>0</v>
      </c>
      <c r="L108" s="4"/>
      <c r="M108" s="7"/>
      <c r="N108" s="24"/>
      <c r="O108" s="7"/>
      <c r="P108" s="7"/>
      <c r="Q108" s="8">
        <f t="shared" si="24"/>
        <v>1483200</v>
      </c>
      <c r="T108" s="57"/>
    </row>
    <row r="109" spans="1:20" s="19" customFormat="1" ht="96" customHeight="1" x14ac:dyDescent="0.2">
      <c r="A109" s="40" t="s">
        <v>302</v>
      </c>
      <c r="B109" s="40" t="s">
        <v>303</v>
      </c>
      <c r="C109" s="40" t="s">
        <v>83</v>
      </c>
      <c r="D109" s="98" t="s">
        <v>304</v>
      </c>
      <c r="E109" s="12"/>
      <c r="F109" s="4">
        <f t="shared" si="22"/>
        <v>450500</v>
      </c>
      <c r="G109" s="6">
        <v>450500</v>
      </c>
      <c r="H109" s="7"/>
      <c r="I109" s="7"/>
      <c r="J109" s="7"/>
      <c r="K109" s="4">
        <f t="shared" si="23"/>
        <v>0</v>
      </c>
      <c r="L109" s="4"/>
      <c r="M109" s="7"/>
      <c r="N109" s="24"/>
      <c r="O109" s="7"/>
      <c r="P109" s="7"/>
      <c r="Q109" s="8">
        <f t="shared" si="24"/>
        <v>450500</v>
      </c>
      <c r="T109" s="57"/>
    </row>
    <row r="110" spans="1:20" s="19" customFormat="1" ht="78.599999999999994" customHeight="1" x14ac:dyDescent="0.2">
      <c r="A110" s="40" t="s">
        <v>272</v>
      </c>
      <c r="B110" s="45">
        <v>1513190</v>
      </c>
      <c r="C110" s="40" t="s">
        <v>82</v>
      </c>
      <c r="D110" s="92" t="s">
        <v>273</v>
      </c>
      <c r="E110" s="13" t="s">
        <v>3</v>
      </c>
      <c r="F110" s="4">
        <f t="shared" si="22"/>
        <v>182700</v>
      </c>
      <c r="G110" s="6">
        <f>157200+25500</f>
        <v>182700</v>
      </c>
      <c r="H110" s="7"/>
      <c r="I110" s="7"/>
      <c r="J110" s="7"/>
      <c r="K110" s="4">
        <f t="shared" si="23"/>
        <v>0</v>
      </c>
      <c r="L110" s="4"/>
      <c r="M110" s="7"/>
      <c r="N110" s="6"/>
      <c r="O110" s="7"/>
      <c r="P110" s="7"/>
      <c r="Q110" s="8">
        <f t="shared" si="24"/>
        <v>182700</v>
      </c>
      <c r="T110" s="57"/>
    </row>
    <row r="111" spans="1:20" s="19" customFormat="1" ht="64.150000000000006" customHeight="1" x14ac:dyDescent="0.2">
      <c r="A111" s="40" t="s">
        <v>274</v>
      </c>
      <c r="B111" s="45">
        <v>1513202</v>
      </c>
      <c r="C111" s="40" t="s">
        <v>80</v>
      </c>
      <c r="D111" s="92" t="s">
        <v>275</v>
      </c>
      <c r="E111" s="13" t="s">
        <v>53</v>
      </c>
      <c r="F111" s="4">
        <f t="shared" si="22"/>
        <v>96000</v>
      </c>
      <c r="G111" s="6">
        <f>61000+5000+30000</f>
        <v>96000</v>
      </c>
      <c r="H111" s="7"/>
      <c r="I111" s="7"/>
      <c r="J111" s="7"/>
      <c r="K111" s="4">
        <f t="shared" si="23"/>
        <v>0</v>
      </c>
      <c r="L111" s="4"/>
      <c r="M111" s="7"/>
      <c r="N111" s="6"/>
      <c r="O111" s="7"/>
      <c r="P111" s="7"/>
      <c r="Q111" s="8">
        <f t="shared" si="24"/>
        <v>96000</v>
      </c>
      <c r="T111" s="57"/>
    </row>
    <row r="112" spans="1:20" s="19" customFormat="1" ht="22.15" customHeight="1" x14ac:dyDescent="0.2">
      <c r="A112" s="40" t="s">
        <v>374</v>
      </c>
      <c r="B112" s="45"/>
      <c r="C112" s="40" t="s">
        <v>373</v>
      </c>
      <c r="D112" s="92" t="s">
        <v>372</v>
      </c>
      <c r="E112" s="13"/>
      <c r="F112" s="4">
        <f t="shared" si="22"/>
        <v>120000</v>
      </c>
      <c r="G112" s="6">
        <v>120000</v>
      </c>
      <c r="H112" s="7">
        <v>120000</v>
      </c>
      <c r="I112" s="7"/>
      <c r="J112" s="7"/>
      <c r="K112" s="4">
        <f t="shared" si="23"/>
        <v>0</v>
      </c>
      <c r="L112" s="4"/>
      <c r="M112" s="7"/>
      <c r="N112" s="6"/>
      <c r="O112" s="7"/>
      <c r="P112" s="7"/>
      <c r="Q112" s="8">
        <f t="shared" si="24"/>
        <v>120000</v>
      </c>
      <c r="T112" s="57"/>
    </row>
    <row r="113" spans="1:20" s="19" customFormat="1" ht="175.15" customHeight="1" x14ac:dyDescent="0.2">
      <c r="A113" s="40" t="s">
        <v>212</v>
      </c>
      <c r="B113" s="45">
        <v>1511060</v>
      </c>
      <c r="C113" s="40" t="s">
        <v>69</v>
      </c>
      <c r="D113" s="97" t="s">
        <v>353</v>
      </c>
      <c r="E113" s="13" t="s">
        <v>55</v>
      </c>
      <c r="F113" s="4">
        <f t="shared" si="22"/>
        <v>1402300</v>
      </c>
      <c r="G113" s="4">
        <f>1385100+17200</f>
        <v>1402300</v>
      </c>
      <c r="H113" s="4"/>
      <c r="I113" s="4"/>
      <c r="J113" s="4"/>
      <c r="K113" s="4">
        <f t="shared" si="23"/>
        <v>0</v>
      </c>
      <c r="L113" s="4"/>
      <c r="M113" s="6"/>
      <c r="N113" s="6"/>
      <c r="O113" s="6"/>
      <c r="P113" s="6"/>
      <c r="Q113" s="8">
        <f t="shared" si="24"/>
        <v>1402300</v>
      </c>
      <c r="T113" s="57"/>
    </row>
    <row r="114" spans="1:20" s="19" customFormat="1" ht="33.6" customHeight="1" x14ac:dyDescent="0.2">
      <c r="A114" s="40" t="s">
        <v>293</v>
      </c>
      <c r="B114" s="45">
        <v>1513400</v>
      </c>
      <c r="C114" s="40" t="s">
        <v>68</v>
      </c>
      <c r="D114" s="91" t="s">
        <v>266</v>
      </c>
      <c r="E114" s="13"/>
      <c r="F114" s="4">
        <f>G114</f>
        <v>0</v>
      </c>
      <c r="G114" s="6"/>
      <c r="H114" s="7"/>
      <c r="I114" s="7"/>
      <c r="J114" s="7"/>
      <c r="K114" s="4">
        <f t="shared" si="23"/>
        <v>0</v>
      </c>
      <c r="L114" s="4"/>
      <c r="M114" s="7"/>
      <c r="N114" s="6"/>
      <c r="O114" s="7"/>
      <c r="P114" s="7"/>
      <c r="Q114" s="8">
        <f t="shared" si="24"/>
        <v>0</v>
      </c>
      <c r="T114" s="57"/>
    </row>
    <row r="115" spans="1:20" s="19" customFormat="1" ht="30" customHeight="1" x14ac:dyDescent="0.2">
      <c r="A115" s="40" t="s">
        <v>396</v>
      </c>
      <c r="B115" s="45"/>
      <c r="C115" s="40" t="s">
        <v>88</v>
      </c>
      <c r="D115" s="91" t="s">
        <v>173</v>
      </c>
      <c r="E115" s="13"/>
      <c r="F115" s="4">
        <f>G115</f>
        <v>0</v>
      </c>
      <c r="G115" s="6"/>
      <c r="H115" s="7"/>
      <c r="I115" s="7"/>
      <c r="J115" s="7"/>
      <c r="K115" s="4">
        <f t="shared" si="23"/>
        <v>145000</v>
      </c>
      <c r="L115" s="4">
        <f>50000+95000</f>
        <v>145000</v>
      </c>
      <c r="M115" s="7"/>
      <c r="N115" s="6"/>
      <c r="O115" s="7"/>
      <c r="P115" s="7">
        <v>145000</v>
      </c>
      <c r="Q115" s="8">
        <f t="shared" si="24"/>
        <v>145000</v>
      </c>
      <c r="T115" s="57"/>
    </row>
    <row r="116" spans="1:20" s="68" customFormat="1" ht="42.75" customHeight="1" x14ac:dyDescent="0.2">
      <c r="A116" s="38" t="s">
        <v>94</v>
      </c>
      <c r="B116" s="38" t="s">
        <v>101</v>
      </c>
      <c r="C116" s="47"/>
      <c r="D116" s="94" t="s">
        <v>35</v>
      </c>
      <c r="E116" s="67" t="s">
        <v>35</v>
      </c>
      <c r="F116" s="115">
        <f>F117</f>
        <v>23040404</v>
      </c>
      <c r="G116" s="115">
        <f t="shared" ref="G116:Q116" si="25">G117</f>
        <v>23040404</v>
      </c>
      <c r="H116" s="3">
        <f t="shared" si="25"/>
        <v>18225450</v>
      </c>
      <c r="I116" s="3">
        <f t="shared" si="25"/>
        <v>2545800</v>
      </c>
      <c r="J116" s="3">
        <f t="shared" si="25"/>
        <v>0</v>
      </c>
      <c r="K116" s="115">
        <f t="shared" si="25"/>
        <v>1180887</v>
      </c>
      <c r="L116" s="3">
        <f t="shared" si="25"/>
        <v>631887</v>
      </c>
      <c r="M116" s="3">
        <f t="shared" si="25"/>
        <v>549000</v>
      </c>
      <c r="N116" s="3">
        <f t="shared" si="25"/>
        <v>123850</v>
      </c>
      <c r="O116" s="3">
        <f t="shared" si="25"/>
        <v>0</v>
      </c>
      <c r="P116" s="3">
        <f t="shared" si="25"/>
        <v>631887</v>
      </c>
      <c r="Q116" s="3">
        <f t="shared" si="25"/>
        <v>24221291</v>
      </c>
      <c r="T116" s="62"/>
    </row>
    <row r="117" spans="1:20" s="68" customFormat="1" ht="21.6" customHeight="1" x14ac:dyDescent="0.2">
      <c r="A117" s="39" t="s">
        <v>176</v>
      </c>
      <c r="B117" s="39" t="s">
        <v>217</v>
      </c>
      <c r="C117" s="40"/>
      <c r="D117" s="95" t="str">
        <f>D116</f>
        <v>Управління культури і туризму міської ради</v>
      </c>
      <c r="E117" s="70"/>
      <c r="F117" s="110">
        <f>SUM(F118:F125)</f>
        <v>23040404</v>
      </c>
      <c r="G117" s="110">
        <f>SUM(G118:G125)</f>
        <v>23040404</v>
      </c>
      <c r="H117" s="4">
        <f>SUM(H118:H125)</f>
        <v>18225450</v>
      </c>
      <c r="I117" s="4">
        <f>SUM(I118:I125)</f>
        <v>2545800</v>
      </c>
      <c r="J117" s="4">
        <f>SUM(J118:J125)</f>
        <v>0</v>
      </c>
      <c r="K117" s="110">
        <f t="shared" ref="K117:P117" si="26">SUM(K118:K125)+K126</f>
        <v>1180887</v>
      </c>
      <c r="L117" s="4">
        <f t="shared" si="26"/>
        <v>631887</v>
      </c>
      <c r="M117" s="4">
        <f t="shared" si="26"/>
        <v>549000</v>
      </c>
      <c r="N117" s="4">
        <f t="shared" si="26"/>
        <v>123850</v>
      </c>
      <c r="O117" s="4">
        <f t="shared" si="26"/>
        <v>0</v>
      </c>
      <c r="P117" s="4">
        <f t="shared" si="26"/>
        <v>631887</v>
      </c>
      <c r="Q117" s="8">
        <f t="shared" ref="Q117:Q136" si="27">F117+K117</f>
        <v>24221291</v>
      </c>
      <c r="T117" s="62"/>
    </row>
    <row r="118" spans="1:20" s="68" customFormat="1" ht="47.45" customHeight="1" x14ac:dyDescent="0.2">
      <c r="A118" s="40" t="s">
        <v>218</v>
      </c>
      <c r="B118" s="45">
        <v>2410180</v>
      </c>
      <c r="C118" s="40" t="s">
        <v>63</v>
      </c>
      <c r="D118" s="88" t="s">
        <v>365</v>
      </c>
      <c r="E118" s="13" t="s">
        <v>2</v>
      </c>
      <c r="F118" s="4">
        <f t="shared" ref="F118:F125" si="28">G118+J118</f>
        <v>1198600</v>
      </c>
      <c r="G118" s="6">
        <f>791100+115500+292000</f>
        <v>1198600</v>
      </c>
      <c r="H118" s="7">
        <f>746800+115500+292000</f>
        <v>1154300</v>
      </c>
      <c r="I118" s="7">
        <f>25300+800</f>
        <v>26100</v>
      </c>
      <c r="J118" s="7"/>
      <c r="K118" s="4">
        <f t="shared" ref="K118:K126" si="29">M118+P118</f>
        <v>15335</v>
      </c>
      <c r="L118" s="4">
        <v>15335</v>
      </c>
      <c r="M118" s="7"/>
      <c r="N118" s="6"/>
      <c r="O118" s="7"/>
      <c r="P118" s="7">
        <f>L118</f>
        <v>15335</v>
      </c>
      <c r="Q118" s="8">
        <f t="shared" si="27"/>
        <v>1213935</v>
      </c>
      <c r="T118" s="62"/>
    </row>
    <row r="119" spans="1:20" s="68" customFormat="1" ht="20.45" customHeight="1" x14ac:dyDescent="0.2">
      <c r="A119" s="40" t="s">
        <v>294</v>
      </c>
      <c r="B119" s="45"/>
      <c r="C119" s="40" t="s">
        <v>74</v>
      </c>
      <c r="D119" s="88" t="s">
        <v>171</v>
      </c>
      <c r="E119" s="13"/>
      <c r="F119" s="4">
        <f t="shared" si="28"/>
        <v>30000</v>
      </c>
      <c r="G119" s="6">
        <v>30000</v>
      </c>
      <c r="H119" s="7"/>
      <c r="I119" s="7"/>
      <c r="J119" s="7"/>
      <c r="K119" s="4">
        <f t="shared" si="29"/>
        <v>0</v>
      </c>
      <c r="L119" s="4"/>
      <c r="M119" s="7"/>
      <c r="N119" s="6"/>
      <c r="O119" s="7"/>
      <c r="P119" s="7"/>
      <c r="Q119" s="8">
        <f t="shared" si="27"/>
        <v>30000</v>
      </c>
      <c r="T119" s="62"/>
    </row>
    <row r="120" spans="1:20" s="68" customFormat="1" ht="66" customHeight="1" x14ac:dyDescent="0.2">
      <c r="A120" s="40" t="s">
        <v>225</v>
      </c>
      <c r="B120" s="45">
        <v>2414100</v>
      </c>
      <c r="C120" s="40" t="s">
        <v>77</v>
      </c>
      <c r="D120" s="92" t="s">
        <v>371</v>
      </c>
      <c r="E120" s="13" t="s">
        <v>12</v>
      </c>
      <c r="F120" s="4">
        <f>G120+J120</f>
        <v>11874150</v>
      </c>
      <c r="G120" s="6">
        <f>11443650+310500+120000</f>
        <v>11874150</v>
      </c>
      <c r="H120" s="10">
        <f>10107100+310500+120000</f>
        <v>10537600</v>
      </c>
      <c r="I120" s="7">
        <v>1306700</v>
      </c>
      <c r="J120" s="7"/>
      <c r="K120" s="4">
        <f>M120+P120</f>
        <v>475000</v>
      </c>
      <c r="L120" s="4">
        <f>15000</f>
        <v>15000</v>
      </c>
      <c r="M120" s="7">
        <v>460000</v>
      </c>
      <c r="N120" s="6">
        <v>109800</v>
      </c>
      <c r="O120" s="7"/>
      <c r="P120" s="7">
        <f>15000</f>
        <v>15000</v>
      </c>
      <c r="Q120" s="8">
        <f>F120+K120</f>
        <v>12349150</v>
      </c>
      <c r="T120" s="62"/>
    </row>
    <row r="121" spans="1:20" s="68" customFormat="1" ht="20.45" customHeight="1" x14ac:dyDescent="0.2">
      <c r="A121" s="40" t="s">
        <v>219</v>
      </c>
      <c r="B121" s="45">
        <v>2414060</v>
      </c>
      <c r="C121" s="40" t="s">
        <v>123</v>
      </c>
      <c r="D121" s="92" t="s">
        <v>220</v>
      </c>
      <c r="E121" s="13" t="s">
        <v>9</v>
      </c>
      <c r="F121" s="4">
        <f t="shared" si="28"/>
        <v>3376450</v>
      </c>
      <c r="G121" s="6">
        <f>3054950+115000+123500+68000+15000</f>
        <v>3376450</v>
      </c>
      <c r="H121" s="7">
        <f>2478350+123500+68000</f>
        <v>2669850</v>
      </c>
      <c r="I121" s="7">
        <f>532200+2800</f>
        <v>535000</v>
      </c>
      <c r="J121" s="7"/>
      <c r="K121" s="4">
        <f t="shared" si="29"/>
        <v>269000</v>
      </c>
      <c r="L121" s="4">
        <f>52000+213000</f>
        <v>265000</v>
      </c>
      <c r="M121" s="7">
        <v>4000</v>
      </c>
      <c r="N121" s="6"/>
      <c r="O121" s="7"/>
      <c r="P121" s="7">
        <f>52000+213000</f>
        <v>265000</v>
      </c>
      <c r="Q121" s="8">
        <f t="shared" si="27"/>
        <v>3645450</v>
      </c>
      <c r="T121" s="62"/>
    </row>
    <row r="122" spans="1:20" s="68" customFormat="1" ht="20.45" customHeight="1" x14ac:dyDescent="0.2">
      <c r="A122" s="40" t="s">
        <v>221</v>
      </c>
      <c r="B122" s="45">
        <v>2414070</v>
      </c>
      <c r="C122" s="40" t="s">
        <v>123</v>
      </c>
      <c r="D122" s="92" t="s">
        <v>222</v>
      </c>
      <c r="E122" s="13" t="s">
        <v>10</v>
      </c>
      <c r="F122" s="4">
        <f t="shared" si="28"/>
        <v>2816043</v>
      </c>
      <c r="G122" s="6">
        <f>2527200+66000+112500-2657+10000+18000+85000</f>
        <v>2816043</v>
      </c>
      <c r="H122" s="7">
        <f>1767200+112500+18000</f>
        <v>1897700</v>
      </c>
      <c r="I122" s="25">
        <v>313000</v>
      </c>
      <c r="J122" s="25"/>
      <c r="K122" s="4">
        <f t="shared" si="29"/>
        <v>143657</v>
      </c>
      <c r="L122" s="4">
        <f>101000-7343</f>
        <v>93657</v>
      </c>
      <c r="M122" s="7">
        <v>50000</v>
      </c>
      <c r="N122" s="6">
        <v>12200</v>
      </c>
      <c r="O122" s="7"/>
      <c r="P122" s="7">
        <f>19515-19515+101000-7343</f>
        <v>93657</v>
      </c>
      <c r="Q122" s="8">
        <f t="shared" si="27"/>
        <v>2959700</v>
      </c>
      <c r="T122" s="62"/>
    </row>
    <row r="123" spans="1:20" s="68" customFormat="1" ht="52.15" customHeight="1" x14ac:dyDescent="0.2">
      <c r="A123" s="40" t="s">
        <v>224</v>
      </c>
      <c r="B123" s="45">
        <v>2414090</v>
      </c>
      <c r="C123" s="40" t="s">
        <v>87</v>
      </c>
      <c r="D123" s="92" t="s">
        <v>223</v>
      </c>
      <c r="E123" s="13" t="s">
        <v>11</v>
      </c>
      <c r="F123" s="4">
        <f t="shared" si="28"/>
        <v>1827400</v>
      </c>
      <c r="G123" s="6">
        <f>1807400+20000</f>
        <v>1827400</v>
      </c>
      <c r="H123" s="7">
        <f>1452800+20000</f>
        <v>1472800</v>
      </c>
      <c r="I123" s="7">
        <v>342600</v>
      </c>
      <c r="J123" s="7"/>
      <c r="K123" s="4">
        <f t="shared" si="29"/>
        <v>35000</v>
      </c>
      <c r="L123" s="4"/>
      <c r="M123" s="7">
        <v>35000</v>
      </c>
      <c r="N123" s="6">
        <v>1850</v>
      </c>
      <c r="O123" s="7"/>
      <c r="P123" s="7">
        <f>380000-380000</f>
        <v>0</v>
      </c>
      <c r="Q123" s="8">
        <f t="shared" si="27"/>
        <v>1862400</v>
      </c>
      <c r="T123" s="62"/>
    </row>
    <row r="124" spans="1:20" s="68" customFormat="1" ht="36.6" customHeight="1" x14ac:dyDescent="0.2">
      <c r="A124" s="40" t="s">
        <v>276</v>
      </c>
      <c r="B124" s="45">
        <v>2414200</v>
      </c>
      <c r="C124" s="40" t="s">
        <v>86</v>
      </c>
      <c r="D124" s="92" t="s">
        <v>277</v>
      </c>
      <c r="E124" s="13"/>
      <c r="F124" s="4">
        <f t="shared" si="28"/>
        <v>584800</v>
      </c>
      <c r="G124" s="6">
        <f>468600+53000+43200+20000</f>
        <v>584800</v>
      </c>
      <c r="H124" s="7">
        <f>420200+53000+20000</f>
        <v>493200</v>
      </c>
      <c r="I124" s="7">
        <v>22400</v>
      </c>
      <c r="J124" s="7"/>
      <c r="K124" s="4">
        <f t="shared" si="29"/>
        <v>0</v>
      </c>
      <c r="L124" s="4"/>
      <c r="M124" s="7"/>
      <c r="N124" s="6"/>
      <c r="O124" s="7"/>
      <c r="P124" s="7"/>
      <c r="Q124" s="8">
        <f t="shared" si="27"/>
        <v>584800</v>
      </c>
      <c r="T124" s="62"/>
    </row>
    <row r="125" spans="1:20" s="68" customFormat="1" ht="24.6" customHeight="1" x14ac:dyDescent="0.2">
      <c r="A125" s="40" t="s">
        <v>278</v>
      </c>
      <c r="B125" s="45">
        <v>2414040</v>
      </c>
      <c r="C125" s="40" t="s">
        <v>86</v>
      </c>
      <c r="D125" s="92" t="s">
        <v>279</v>
      </c>
      <c r="E125" s="13"/>
      <c r="F125" s="4">
        <f t="shared" si="28"/>
        <v>1332961</v>
      </c>
      <c r="G125" s="6">
        <f>700000+50000+250000+150000+102961-25000+55000+50000</f>
        <v>1332961</v>
      </c>
      <c r="H125" s="7"/>
      <c r="I125" s="7"/>
      <c r="J125" s="7"/>
      <c r="K125" s="4">
        <f t="shared" si="29"/>
        <v>105000</v>
      </c>
      <c r="L125" s="4">
        <f>80000+25000</f>
        <v>105000</v>
      </c>
      <c r="M125" s="7"/>
      <c r="N125" s="6"/>
      <c r="O125" s="7"/>
      <c r="P125" s="7">
        <f>L125</f>
        <v>105000</v>
      </c>
      <c r="Q125" s="8">
        <f t="shared" si="27"/>
        <v>1437961</v>
      </c>
      <c r="T125" s="62"/>
    </row>
    <row r="126" spans="1:20" s="68" customFormat="1" ht="51.75" customHeight="1" x14ac:dyDescent="0.2">
      <c r="A126" s="40" t="s">
        <v>391</v>
      </c>
      <c r="B126" s="40" t="s">
        <v>324</v>
      </c>
      <c r="C126" s="40" t="s">
        <v>247</v>
      </c>
      <c r="D126" s="92" t="s">
        <v>369</v>
      </c>
      <c r="E126" s="13"/>
      <c r="F126" s="4"/>
      <c r="G126" s="6"/>
      <c r="H126" s="7"/>
      <c r="I126" s="7"/>
      <c r="J126" s="7"/>
      <c r="K126" s="4">
        <f t="shared" si="29"/>
        <v>137895</v>
      </c>
      <c r="L126" s="4">
        <f>90000+46500+1395</f>
        <v>137895</v>
      </c>
      <c r="M126" s="7"/>
      <c r="N126" s="6"/>
      <c r="O126" s="7"/>
      <c r="P126" s="7">
        <f>L126</f>
        <v>137895</v>
      </c>
      <c r="Q126" s="8">
        <f t="shared" si="27"/>
        <v>137895</v>
      </c>
      <c r="T126" s="62"/>
    </row>
    <row r="127" spans="1:20" s="68" customFormat="1" ht="39" customHeight="1" x14ac:dyDescent="0.2">
      <c r="A127" s="38" t="s">
        <v>186</v>
      </c>
      <c r="B127" s="38" t="s">
        <v>97</v>
      </c>
      <c r="C127" s="47"/>
      <c r="D127" s="94" t="s">
        <v>41</v>
      </c>
      <c r="E127" s="72"/>
      <c r="F127" s="115">
        <f>F128</f>
        <v>4717600</v>
      </c>
      <c r="G127" s="115">
        <f t="shared" ref="G127:P127" si="30">G128</f>
        <v>4717600</v>
      </c>
      <c r="H127" s="3">
        <f t="shared" si="30"/>
        <v>2264900</v>
      </c>
      <c r="I127" s="3">
        <f t="shared" si="30"/>
        <v>181300</v>
      </c>
      <c r="J127" s="3">
        <f t="shared" si="30"/>
        <v>0</v>
      </c>
      <c r="K127" s="115">
        <f t="shared" si="30"/>
        <v>204100</v>
      </c>
      <c r="L127" s="3">
        <f t="shared" si="30"/>
        <v>134700</v>
      </c>
      <c r="M127" s="3">
        <f t="shared" si="30"/>
        <v>69400</v>
      </c>
      <c r="N127" s="3">
        <f t="shared" si="30"/>
        <v>53400</v>
      </c>
      <c r="O127" s="3">
        <f t="shared" si="30"/>
        <v>0</v>
      </c>
      <c r="P127" s="3">
        <f t="shared" si="30"/>
        <v>134700</v>
      </c>
      <c r="Q127" s="23">
        <f t="shared" si="27"/>
        <v>4921700</v>
      </c>
      <c r="T127" s="62"/>
    </row>
    <row r="128" spans="1:20" s="68" customFormat="1" ht="31.9" customHeight="1" x14ac:dyDescent="0.2">
      <c r="A128" s="39" t="s">
        <v>187</v>
      </c>
      <c r="B128" s="39" t="s">
        <v>185</v>
      </c>
      <c r="C128" s="40"/>
      <c r="D128" s="95" t="str">
        <f>D127</f>
        <v>Відділ з питань фізичної культури та спорту Ніжинської міської ради</v>
      </c>
      <c r="E128" s="13"/>
      <c r="F128" s="110">
        <f>F129+F131+F132+F134+F133+F130</f>
        <v>4717600</v>
      </c>
      <c r="G128" s="110">
        <f>SUM(G129:G135)</f>
        <v>4717600</v>
      </c>
      <c r="H128" s="4">
        <f t="shared" ref="H128:P128" si="31">SUM(H129:H135)</f>
        <v>2264900</v>
      </c>
      <c r="I128" s="4">
        <f t="shared" si="31"/>
        <v>181300</v>
      </c>
      <c r="J128" s="4">
        <f t="shared" si="31"/>
        <v>0</v>
      </c>
      <c r="K128" s="4">
        <f t="shared" si="31"/>
        <v>204100</v>
      </c>
      <c r="L128" s="4">
        <f t="shared" si="31"/>
        <v>134700</v>
      </c>
      <c r="M128" s="4">
        <f t="shared" si="31"/>
        <v>69400</v>
      </c>
      <c r="N128" s="4">
        <f t="shared" si="31"/>
        <v>53400</v>
      </c>
      <c r="O128" s="4">
        <f t="shared" si="31"/>
        <v>0</v>
      </c>
      <c r="P128" s="4">
        <f t="shared" si="31"/>
        <v>134700</v>
      </c>
      <c r="Q128" s="8">
        <f t="shared" si="27"/>
        <v>4921700</v>
      </c>
      <c r="T128" s="62"/>
    </row>
    <row r="129" spans="1:20" s="68" customFormat="1" ht="48" customHeight="1" x14ac:dyDescent="0.2">
      <c r="A129" s="40" t="s">
        <v>188</v>
      </c>
      <c r="B129" s="45">
        <v>1310180</v>
      </c>
      <c r="C129" s="40" t="s">
        <v>63</v>
      </c>
      <c r="D129" s="88" t="s">
        <v>365</v>
      </c>
      <c r="E129" s="13"/>
      <c r="F129" s="4">
        <f t="shared" ref="F129:F135" si="32">G129+J129</f>
        <v>985400</v>
      </c>
      <c r="G129" s="6">
        <f>994400-9000</f>
        <v>985400</v>
      </c>
      <c r="H129" s="7">
        <f>957500-9000</f>
        <v>948500</v>
      </c>
      <c r="I129" s="7">
        <v>20100</v>
      </c>
      <c r="J129" s="7"/>
      <c r="K129" s="4">
        <f>M129+P129</f>
        <v>9000</v>
      </c>
      <c r="L129" s="4">
        <v>9000</v>
      </c>
      <c r="M129" s="7"/>
      <c r="N129" s="6"/>
      <c r="O129" s="7"/>
      <c r="P129" s="7">
        <v>9000</v>
      </c>
      <c r="Q129" s="8">
        <f t="shared" si="27"/>
        <v>994400</v>
      </c>
      <c r="T129" s="62"/>
    </row>
    <row r="130" spans="1:20" s="68" customFormat="1" ht="21.6" customHeight="1" x14ac:dyDescent="0.2">
      <c r="A130" s="40" t="s">
        <v>370</v>
      </c>
      <c r="B130" s="41"/>
      <c r="C130" s="41" t="s">
        <v>74</v>
      </c>
      <c r="D130" s="99" t="s">
        <v>171</v>
      </c>
      <c r="E130" s="13"/>
      <c r="F130" s="4">
        <f t="shared" si="32"/>
        <v>20000</v>
      </c>
      <c r="G130" s="6">
        <v>20000</v>
      </c>
      <c r="H130" s="7"/>
      <c r="I130" s="7"/>
      <c r="J130" s="7"/>
      <c r="K130" s="4"/>
      <c r="L130" s="4"/>
      <c r="M130" s="7"/>
      <c r="N130" s="6"/>
      <c r="O130" s="7"/>
      <c r="P130" s="7"/>
      <c r="Q130" s="8">
        <f t="shared" si="27"/>
        <v>20000</v>
      </c>
      <c r="T130" s="62"/>
    </row>
    <row r="131" spans="1:20" s="68" customFormat="1" ht="36" customHeight="1" x14ac:dyDescent="0.2">
      <c r="A131" s="40" t="s">
        <v>244</v>
      </c>
      <c r="B131" s="45">
        <v>1315011</v>
      </c>
      <c r="C131" s="40" t="s">
        <v>79</v>
      </c>
      <c r="D131" s="92" t="s">
        <v>109</v>
      </c>
      <c r="E131" s="13"/>
      <c r="F131" s="4">
        <f t="shared" si="32"/>
        <v>862800</v>
      </c>
      <c r="G131" s="6">
        <f>580000-22000+270000+22800+12000</f>
        <v>862800</v>
      </c>
      <c r="H131" s="7"/>
      <c r="I131" s="7"/>
      <c r="J131" s="7"/>
      <c r="K131" s="4">
        <f>M131+P131</f>
        <v>36400</v>
      </c>
      <c r="L131" s="4">
        <f>22000+14400</f>
        <v>36400</v>
      </c>
      <c r="M131" s="7"/>
      <c r="N131" s="6"/>
      <c r="O131" s="7"/>
      <c r="P131" s="7">
        <f>L131</f>
        <v>36400</v>
      </c>
      <c r="Q131" s="8">
        <f t="shared" si="27"/>
        <v>899200</v>
      </c>
      <c r="T131" s="62"/>
    </row>
    <row r="132" spans="1:20" s="68" customFormat="1" ht="36" customHeight="1" x14ac:dyDescent="0.2">
      <c r="A132" s="40" t="s">
        <v>189</v>
      </c>
      <c r="B132" s="45">
        <v>1315012</v>
      </c>
      <c r="C132" s="40" t="s">
        <v>79</v>
      </c>
      <c r="D132" s="92" t="s">
        <v>110</v>
      </c>
      <c r="E132" s="13"/>
      <c r="F132" s="4">
        <f t="shared" si="32"/>
        <v>203000</v>
      </c>
      <c r="G132" s="6">
        <f>135000+48000+20000</f>
        <v>203000</v>
      </c>
      <c r="H132" s="7"/>
      <c r="I132" s="7"/>
      <c r="J132" s="7"/>
      <c r="K132" s="4">
        <f>M132+P132</f>
        <v>0</v>
      </c>
      <c r="L132" s="4"/>
      <c r="M132" s="7"/>
      <c r="N132" s="6"/>
      <c r="O132" s="7"/>
      <c r="P132" s="7"/>
      <c r="Q132" s="8">
        <f t="shared" si="27"/>
        <v>203000</v>
      </c>
      <c r="T132" s="62"/>
    </row>
    <row r="133" spans="1:20" s="68" customFormat="1" ht="47.25" customHeight="1" x14ac:dyDescent="0.2">
      <c r="A133" s="40" t="s">
        <v>191</v>
      </c>
      <c r="B133" s="45">
        <v>1315032</v>
      </c>
      <c r="C133" s="40" t="s">
        <v>79</v>
      </c>
      <c r="D133" s="92" t="s">
        <v>111</v>
      </c>
      <c r="E133" s="13"/>
      <c r="F133" s="4">
        <f t="shared" si="32"/>
        <v>895000</v>
      </c>
      <c r="G133" s="6">
        <f>450000+10000+300000+125000+10000</f>
        <v>895000</v>
      </c>
      <c r="H133" s="7"/>
      <c r="I133" s="7"/>
      <c r="J133" s="7"/>
      <c r="K133" s="4">
        <f>M133+P133</f>
        <v>0</v>
      </c>
      <c r="L133" s="4"/>
      <c r="M133" s="7"/>
      <c r="N133" s="6"/>
      <c r="O133" s="7"/>
      <c r="P133" s="7"/>
      <c r="Q133" s="8">
        <f t="shared" si="27"/>
        <v>895000</v>
      </c>
      <c r="T133" s="62"/>
    </row>
    <row r="134" spans="1:20" s="68" customFormat="1" ht="69.75" customHeight="1" x14ac:dyDescent="0.2">
      <c r="A134" s="40" t="s">
        <v>190</v>
      </c>
      <c r="B134" s="45">
        <v>1315061</v>
      </c>
      <c r="C134" s="40" t="s">
        <v>79</v>
      </c>
      <c r="D134" s="92" t="s">
        <v>355</v>
      </c>
      <c r="E134" s="13"/>
      <c r="F134" s="4">
        <f>G134+J134</f>
        <v>1751400</v>
      </c>
      <c r="G134" s="6">
        <f>1643900+7500+50000+50000</f>
        <v>1751400</v>
      </c>
      <c r="H134" s="7">
        <v>1316400</v>
      </c>
      <c r="I134" s="7">
        <v>161200</v>
      </c>
      <c r="J134" s="7"/>
      <c r="K134" s="4">
        <f>M134+P134</f>
        <v>128700</v>
      </c>
      <c r="L134" s="4">
        <f>66800-7500</f>
        <v>59300</v>
      </c>
      <c r="M134" s="7">
        <v>69400</v>
      </c>
      <c r="N134" s="6">
        <v>53400</v>
      </c>
      <c r="O134" s="7"/>
      <c r="P134" s="7">
        <f>66800-7500</f>
        <v>59300</v>
      </c>
      <c r="Q134" s="8">
        <f>F134+K134</f>
        <v>1880100</v>
      </c>
      <c r="T134" s="62"/>
    </row>
    <row r="135" spans="1:20" s="68" customFormat="1" ht="48.6" customHeight="1" x14ac:dyDescent="0.2">
      <c r="A135" s="40" t="s">
        <v>332</v>
      </c>
      <c r="B135" s="45"/>
      <c r="C135" s="40" t="s">
        <v>247</v>
      </c>
      <c r="D135" s="92" t="s">
        <v>322</v>
      </c>
      <c r="E135" s="13"/>
      <c r="F135" s="4">
        <f t="shared" si="32"/>
        <v>0</v>
      </c>
      <c r="G135" s="6">
        <v>0</v>
      </c>
      <c r="H135" s="7"/>
      <c r="I135" s="7"/>
      <c r="J135" s="7"/>
      <c r="K135" s="4">
        <f>M135+P135</f>
        <v>30000</v>
      </c>
      <c r="L135" s="4">
        <v>30000</v>
      </c>
      <c r="M135" s="7"/>
      <c r="N135" s="6"/>
      <c r="O135" s="7"/>
      <c r="P135" s="7">
        <v>30000</v>
      </c>
      <c r="Q135" s="8">
        <f t="shared" si="27"/>
        <v>30000</v>
      </c>
      <c r="T135" s="62"/>
    </row>
    <row r="136" spans="1:20" s="68" customFormat="1" ht="36" customHeight="1" x14ac:dyDescent="0.2">
      <c r="A136" s="38" t="s">
        <v>227</v>
      </c>
      <c r="B136" s="38" t="s">
        <v>100</v>
      </c>
      <c r="C136" s="47"/>
      <c r="D136" s="94" t="s">
        <v>34</v>
      </c>
      <c r="E136" s="67" t="s">
        <v>34</v>
      </c>
      <c r="F136" s="115">
        <f>F137</f>
        <v>43846370.619999997</v>
      </c>
      <c r="G136" s="115">
        <f>G137</f>
        <v>34727403.619999997</v>
      </c>
      <c r="H136" s="3">
        <f>H137</f>
        <v>4231400</v>
      </c>
      <c r="I136" s="3">
        <f>I137</f>
        <v>6212790</v>
      </c>
      <c r="J136" s="3">
        <f t="shared" ref="J136:P136" si="33">J137</f>
        <v>9118967</v>
      </c>
      <c r="K136" s="115">
        <f t="shared" si="33"/>
        <v>39769388.099999994</v>
      </c>
      <c r="L136" s="115">
        <f t="shared" si="33"/>
        <v>39031862.880000003</v>
      </c>
      <c r="M136" s="120">
        <f t="shared" si="33"/>
        <v>657525.22</v>
      </c>
      <c r="N136" s="3">
        <f t="shared" si="33"/>
        <v>0</v>
      </c>
      <c r="O136" s="3">
        <f t="shared" si="33"/>
        <v>0</v>
      </c>
      <c r="P136" s="115">
        <f t="shared" si="33"/>
        <v>39111862.880000003</v>
      </c>
      <c r="Q136" s="116">
        <f t="shared" si="27"/>
        <v>83615758.719999999</v>
      </c>
      <c r="T136" s="62"/>
    </row>
    <row r="137" spans="1:20" s="74" customFormat="1" ht="32.450000000000003" customHeight="1" x14ac:dyDescent="0.2">
      <c r="A137" s="49" t="s">
        <v>228</v>
      </c>
      <c r="B137" s="49" t="s">
        <v>226</v>
      </c>
      <c r="C137" s="46"/>
      <c r="D137" s="100" t="str">
        <f>D136</f>
        <v>Управління житлово-комунального господарства та будівництва міської ради</v>
      </c>
      <c r="E137" s="73"/>
      <c r="F137" s="111">
        <f>SUM(F138:F163)</f>
        <v>43846370.619999997</v>
      </c>
      <c r="G137" s="111">
        <f>SUM(G138:G163)</f>
        <v>34727403.619999997</v>
      </c>
      <c r="H137" s="30">
        <f t="shared" ref="H137:P137" si="34">SUM(H138:H163)</f>
        <v>4231400</v>
      </c>
      <c r="I137" s="30">
        <f t="shared" si="34"/>
        <v>6212790</v>
      </c>
      <c r="J137" s="30">
        <f t="shared" si="34"/>
        <v>9118967</v>
      </c>
      <c r="K137" s="111">
        <f>K138+K139+K140+K141+K142+K143+K144+K145+K146+K147+K148+K149+K150+K151+K152+K153+K154+K155+K156+K157+K158+K159+K160+K161+K162+K163</f>
        <v>39769388.099999994</v>
      </c>
      <c r="L137" s="111">
        <f t="shared" si="34"/>
        <v>39031862.880000003</v>
      </c>
      <c r="M137" s="123">
        <f t="shared" si="34"/>
        <v>657525.22</v>
      </c>
      <c r="N137" s="30">
        <f t="shared" si="34"/>
        <v>0</v>
      </c>
      <c r="O137" s="30">
        <f t="shared" si="34"/>
        <v>0</v>
      </c>
      <c r="P137" s="30">
        <f t="shared" si="34"/>
        <v>39111862.880000003</v>
      </c>
      <c r="Q137" s="114">
        <f t="shared" ref="Q137:Q173" si="35">F137+K137</f>
        <v>83615758.719999999</v>
      </c>
      <c r="T137" s="75"/>
    </row>
    <row r="138" spans="1:20" s="19" customFormat="1" ht="48.75" customHeight="1" x14ac:dyDescent="0.2">
      <c r="A138" s="40" t="s">
        <v>229</v>
      </c>
      <c r="B138" s="45">
        <v>4010180</v>
      </c>
      <c r="C138" s="40" t="s">
        <v>63</v>
      </c>
      <c r="D138" s="88" t="s">
        <v>365</v>
      </c>
      <c r="E138" s="13" t="s">
        <v>2</v>
      </c>
      <c r="F138" s="4">
        <f t="shared" ref="F138:F158" si="36">G138+J138</f>
        <v>4534400</v>
      </c>
      <c r="G138" s="6">
        <v>4534400</v>
      </c>
      <c r="H138" s="7">
        <v>4231400</v>
      </c>
      <c r="I138" s="7">
        <f>191150+1640</f>
        <v>192790</v>
      </c>
      <c r="J138" s="7"/>
      <c r="K138" s="4">
        <f t="shared" ref="K138:K163" si="37">M138+P138</f>
        <v>150000</v>
      </c>
      <c r="L138" s="4"/>
      <c r="M138" s="122">
        <v>70000</v>
      </c>
      <c r="N138" s="6"/>
      <c r="O138" s="7"/>
      <c r="P138" s="7">
        <v>80000</v>
      </c>
      <c r="Q138" s="8">
        <f t="shared" si="35"/>
        <v>4684400</v>
      </c>
      <c r="T138" s="57"/>
    </row>
    <row r="139" spans="1:20" s="19" customFormat="1" ht="21" customHeight="1" x14ac:dyDescent="0.2">
      <c r="A139" s="40" t="s">
        <v>331</v>
      </c>
      <c r="B139" s="45"/>
      <c r="C139" s="40" t="s">
        <v>74</v>
      </c>
      <c r="D139" s="88" t="s">
        <v>171</v>
      </c>
      <c r="E139" s="13"/>
      <c r="F139" s="4">
        <f t="shared" si="36"/>
        <v>391600</v>
      </c>
      <c r="G139" s="6">
        <f>25000+350000+1600+15000</f>
        <v>391600</v>
      </c>
      <c r="H139" s="7"/>
      <c r="I139" s="7"/>
      <c r="J139" s="7"/>
      <c r="K139" s="4">
        <f t="shared" si="37"/>
        <v>0</v>
      </c>
      <c r="L139" s="4"/>
      <c r="M139" s="122"/>
      <c r="N139" s="6"/>
      <c r="O139" s="7"/>
      <c r="P139" s="7"/>
      <c r="Q139" s="8">
        <f t="shared" si="35"/>
        <v>391600</v>
      </c>
      <c r="T139" s="57"/>
    </row>
    <row r="140" spans="1:20" s="19" customFormat="1" ht="21" customHeight="1" x14ac:dyDescent="0.2">
      <c r="A140" s="40" t="s">
        <v>375</v>
      </c>
      <c r="B140" s="45"/>
      <c r="C140" s="40" t="s">
        <v>373</v>
      </c>
      <c r="D140" s="92" t="s">
        <v>372</v>
      </c>
      <c r="E140" s="13"/>
      <c r="F140" s="4">
        <f t="shared" si="36"/>
        <v>160000</v>
      </c>
      <c r="G140" s="6">
        <v>160000</v>
      </c>
      <c r="H140" s="7"/>
      <c r="I140" s="7"/>
      <c r="J140" s="7"/>
      <c r="K140" s="4">
        <f>M140+P140</f>
        <v>0</v>
      </c>
      <c r="L140" s="4"/>
      <c r="M140" s="122"/>
      <c r="N140" s="6"/>
      <c r="O140" s="7"/>
      <c r="P140" s="7"/>
      <c r="Q140" s="8">
        <f>F140+K140</f>
        <v>160000</v>
      </c>
      <c r="T140" s="57"/>
    </row>
    <row r="141" spans="1:20" s="65" customFormat="1" ht="34.15" customHeight="1" x14ac:dyDescent="0.2">
      <c r="A141" s="40" t="s">
        <v>230</v>
      </c>
      <c r="B141" s="50">
        <v>4016021</v>
      </c>
      <c r="C141" s="40" t="s">
        <v>70</v>
      </c>
      <c r="D141" s="92" t="s">
        <v>338</v>
      </c>
      <c r="E141" s="5" t="s">
        <v>45</v>
      </c>
      <c r="F141" s="4">
        <f t="shared" si="36"/>
        <v>0</v>
      </c>
      <c r="G141" s="6"/>
      <c r="H141" s="7"/>
      <c r="I141" s="7"/>
      <c r="J141" s="7"/>
      <c r="K141" s="4">
        <f t="shared" si="37"/>
        <v>0</v>
      </c>
      <c r="L141" s="4"/>
      <c r="M141" s="122"/>
      <c r="N141" s="6"/>
      <c r="O141" s="7"/>
      <c r="P141" s="7"/>
      <c r="Q141" s="8">
        <f t="shared" si="35"/>
        <v>0</v>
      </c>
      <c r="T141" s="57"/>
    </row>
    <row r="142" spans="1:20" s="19" customFormat="1" ht="34.15" customHeight="1" x14ac:dyDescent="0.2">
      <c r="A142" s="48">
        <v>1216011</v>
      </c>
      <c r="B142" s="45"/>
      <c r="C142" s="40" t="s">
        <v>70</v>
      </c>
      <c r="D142" s="91" t="s">
        <v>297</v>
      </c>
      <c r="E142" s="13"/>
      <c r="F142" s="4">
        <f t="shared" si="36"/>
        <v>85000</v>
      </c>
      <c r="G142" s="6">
        <f>85000</f>
        <v>85000</v>
      </c>
      <c r="H142" s="7"/>
      <c r="I142" s="7"/>
      <c r="J142" s="7"/>
      <c r="K142" s="4">
        <f t="shared" si="37"/>
        <v>500000</v>
      </c>
      <c r="L142" s="4">
        <v>500000</v>
      </c>
      <c r="M142" s="122"/>
      <c r="N142" s="6"/>
      <c r="O142" s="7"/>
      <c r="P142" s="7">
        <f>L142</f>
        <v>500000</v>
      </c>
      <c r="Q142" s="8">
        <f t="shared" si="35"/>
        <v>585000</v>
      </c>
      <c r="T142" s="57"/>
    </row>
    <row r="143" spans="1:20" s="19" customFormat="1" ht="34.15" customHeight="1" x14ac:dyDescent="0.2">
      <c r="A143" s="48">
        <v>1216013</v>
      </c>
      <c r="B143" s="45"/>
      <c r="C143" s="40" t="s">
        <v>70</v>
      </c>
      <c r="D143" s="91" t="s">
        <v>313</v>
      </c>
      <c r="E143" s="13"/>
      <c r="F143" s="4">
        <f t="shared" si="36"/>
        <v>268300</v>
      </c>
      <c r="G143" s="6">
        <v>268300</v>
      </c>
      <c r="H143" s="7"/>
      <c r="I143" s="7"/>
      <c r="J143" s="7"/>
      <c r="K143" s="4">
        <f t="shared" si="37"/>
        <v>0</v>
      </c>
      <c r="L143" s="4"/>
      <c r="M143" s="122"/>
      <c r="N143" s="6"/>
      <c r="O143" s="7"/>
      <c r="P143" s="7"/>
      <c r="Q143" s="8">
        <f t="shared" si="35"/>
        <v>268300</v>
      </c>
      <c r="T143" s="57"/>
    </row>
    <row r="144" spans="1:20" s="19" customFormat="1" ht="34.15" customHeight="1" x14ac:dyDescent="0.2">
      <c r="A144" s="48">
        <v>1216017</v>
      </c>
      <c r="B144" s="45"/>
      <c r="C144" s="40" t="s">
        <v>70</v>
      </c>
      <c r="D144" s="91" t="s">
        <v>339</v>
      </c>
      <c r="E144" s="13"/>
      <c r="F144" s="4">
        <f t="shared" si="36"/>
        <v>0</v>
      </c>
      <c r="G144" s="6"/>
      <c r="H144" s="7"/>
      <c r="I144" s="7"/>
      <c r="J144" s="7"/>
      <c r="K144" s="4">
        <f t="shared" si="37"/>
        <v>0</v>
      </c>
      <c r="L144" s="4"/>
      <c r="M144" s="122"/>
      <c r="N144" s="6"/>
      <c r="O144" s="7"/>
      <c r="P144" s="7"/>
      <c r="Q144" s="8">
        <f t="shared" si="35"/>
        <v>0</v>
      </c>
      <c r="T144" s="57"/>
    </row>
    <row r="145" spans="1:20" s="19" customFormat="1" ht="64.150000000000006" customHeight="1" x14ac:dyDescent="0.2">
      <c r="A145" s="51">
        <v>1216020</v>
      </c>
      <c r="B145" s="52">
        <v>4018600</v>
      </c>
      <c r="C145" s="46" t="s">
        <v>70</v>
      </c>
      <c r="D145" s="101" t="s">
        <v>310</v>
      </c>
      <c r="E145" s="13"/>
      <c r="F145" s="4">
        <f t="shared" si="36"/>
        <v>200000</v>
      </c>
      <c r="G145" s="6">
        <v>0</v>
      </c>
      <c r="H145" s="7"/>
      <c r="I145" s="7"/>
      <c r="J145" s="7">
        <v>200000</v>
      </c>
      <c r="K145" s="4">
        <f t="shared" si="37"/>
        <v>30000</v>
      </c>
      <c r="L145" s="4">
        <f>30000</f>
        <v>30000</v>
      </c>
      <c r="M145" s="122"/>
      <c r="N145" s="6"/>
      <c r="O145" s="7"/>
      <c r="P145" s="7">
        <f>L145</f>
        <v>30000</v>
      </c>
      <c r="Q145" s="8">
        <f t="shared" si="35"/>
        <v>230000</v>
      </c>
      <c r="T145" s="57"/>
    </row>
    <row r="146" spans="1:20" s="19" customFormat="1" ht="21" customHeight="1" x14ac:dyDescent="0.2">
      <c r="A146" s="40" t="s">
        <v>231</v>
      </c>
      <c r="B146" s="45">
        <v>4016060</v>
      </c>
      <c r="C146" s="40" t="s">
        <v>70</v>
      </c>
      <c r="D146" s="92" t="s">
        <v>232</v>
      </c>
      <c r="E146" s="13" t="s">
        <v>46</v>
      </c>
      <c r="F146" s="110">
        <f t="shared" si="36"/>
        <v>23926620</v>
      </c>
      <c r="G146" s="113">
        <f>10164900+40000-85000+855000-154000+555000+110250+100000+295000+1862.12-1862.12+190000+60000+515000+190000+175000+790000+752500+197380+456500</f>
        <v>15207530</v>
      </c>
      <c r="H146" s="7"/>
      <c r="I146" s="7">
        <v>6020000</v>
      </c>
      <c r="J146" s="7">
        <f>8100000+98877-98877+619090</f>
        <v>8719090</v>
      </c>
      <c r="K146" s="110">
        <f t="shared" si="37"/>
        <v>228645.36</v>
      </c>
      <c r="L146" s="110">
        <f>198250+28533.24+195000-195000</f>
        <v>226783.24</v>
      </c>
      <c r="M146" s="122">
        <v>1862.12</v>
      </c>
      <c r="N146" s="6"/>
      <c r="O146" s="7"/>
      <c r="P146" s="112">
        <f>L146</f>
        <v>226783.24</v>
      </c>
      <c r="Q146" s="114">
        <f t="shared" si="35"/>
        <v>24155265.359999999</v>
      </c>
      <c r="T146" s="57"/>
    </row>
    <row r="147" spans="1:20" s="68" customFormat="1" ht="21" customHeight="1" x14ac:dyDescent="0.2">
      <c r="A147" s="48">
        <v>1217130</v>
      </c>
      <c r="B147" s="45"/>
      <c r="C147" s="40" t="s">
        <v>72</v>
      </c>
      <c r="D147" s="102" t="s">
        <v>145</v>
      </c>
      <c r="E147" s="27"/>
      <c r="F147" s="4">
        <f t="shared" si="36"/>
        <v>66134</v>
      </c>
      <c r="G147" s="6">
        <f>7257+101000-101000</f>
        <v>7257</v>
      </c>
      <c r="H147" s="26"/>
      <c r="I147" s="26"/>
      <c r="J147" s="6">
        <f>98877-40000</f>
        <v>58877</v>
      </c>
      <c r="K147" s="4">
        <f t="shared" si="37"/>
        <v>0</v>
      </c>
      <c r="L147" s="4"/>
      <c r="M147" s="121"/>
      <c r="N147" s="6"/>
      <c r="O147" s="6"/>
      <c r="P147" s="6"/>
      <c r="Q147" s="8">
        <f t="shared" si="35"/>
        <v>66134</v>
      </c>
      <c r="T147" s="62"/>
    </row>
    <row r="148" spans="1:20" s="19" customFormat="1" ht="34.9" customHeight="1" x14ac:dyDescent="0.2">
      <c r="A148" s="40" t="s">
        <v>305</v>
      </c>
      <c r="B148" s="45">
        <v>4016310</v>
      </c>
      <c r="C148" s="40"/>
      <c r="D148" s="98" t="s">
        <v>360</v>
      </c>
      <c r="E148" s="27" t="s">
        <v>14</v>
      </c>
      <c r="F148" s="4">
        <f t="shared" si="36"/>
        <v>0</v>
      </c>
      <c r="G148" s="6"/>
      <c r="H148" s="7"/>
      <c r="I148" s="7"/>
      <c r="J148" s="7"/>
      <c r="K148" s="4">
        <f t="shared" si="37"/>
        <v>522000</v>
      </c>
      <c r="L148" s="4">
        <v>522000</v>
      </c>
      <c r="M148" s="122"/>
      <c r="N148" s="6"/>
      <c r="O148" s="7"/>
      <c r="P148" s="7">
        <f t="shared" ref="P148:P153" si="38">L148</f>
        <v>522000</v>
      </c>
      <c r="Q148" s="8">
        <f t="shared" si="35"/>
        <v>522000</v>
      </c>
      <c r="T148" s="57"/>
    </row>
    <row r="149" spans="1:20" s="19" customFormat="1" ht="18.600000000000001" customHeight="1" x14ac:dyDescent="0.2">
      <c r="A149" s="40" t="s">
        <v>306</v>
      </c>
      <c r="B149" s="45"/>
      <c r="C149" s="42" t="s">
        <v>85</v>
      </c>
      <c r="D149" s="89" t="s">
        <v>361</v>
      </c>
      <c r="E149" s="27"/>
      <c r="F149" s="4">
        <f t="shared" si="36"/>
        <v>0</v>
      </c>
      <c r="G149" s="6"/>
      <c r="H149" s="7"/>
      <c r="I149" s="7"/>
      <c r="J149" s="7"/>
      <c r="K149" s="4">
        <f t="shared" si="37"/>
        <v>5190000</v>
      </c>
      <c r="L149" s="4">
        <f>1000000+100000-1000000+150000+2300000+1500000+690000+450000</f>
        <v>5190000</v>
      </c>
      <c r="M149" s="122"/>
      <c r="N149" s="6"/>
      <c r="O149" s="7"/>
      <c r="P149" s="7">
        <f t="shared" si="38"/>
        <v>5190000</v>
      </c>
      <c r="Q149" s="8">
        <f t="shared" si="35"/>
        <v>5190000</v>
      </c>
      <c r="T149" s="57"/>
    </row>
    <row r="150" spans="1:20" s="19" customFormat="1" ht="20.45" customHeight="1" x14ac:dyDescent="0.2">
      <c r="A150" s="40" t="s">
        <v>307</v>
      </c>
      <c r="B150" s="45"/>
      <c r="C150" s="42" t="s">
        <v>85</v>
      </c>
      <c r="D150" s="89" t="s">
        <v>362</v>
      </c>
      <c r="E150" s="27"/>
      <c r="F150" s="4">
        <f t="shared" si="36"/>
        <v>0</v>
      </c>
      <c r="G150" s="6"/>
      <c r="H150" s="7"/>
      <c r="I150" s="7"/>
      <c r="J150" s="7"/>
      <c r="K150" s="4">
        <f t="shared" si="37"/>
        <v>88783</v>
      </c>
      <c r="L150" s="4">
        <f>1018783-930000</f>
        <v>88783</v>
      </c>
      <c r="M150" s="122"/>
      <c r="N150" s="6"/>
      <c r="O150" s="7"/>
      <c r="P150" s="7">
        <f t="shared" si="38"/>
        <v>88783</v>
      </c>
      <c r="Q150" s="8">
        <f t="shared" si="35"/>
        <v>88783</v>
      </c>
      <c r="T150" s="57"/>
    </row>
    <row r="151" spans="1:20" s="19" customFormat="1" ht="36.75" customHeight="1" x14ac:dyDescent="0.2">
      <c r="A151" s="40" t="s">
        <v>308</v>
      </c>
      <c r="B151" s="45"/>
      <c r="C151" s="40" t="s">
        <v>85</v>
      </c>
      <c r="D151" s="103" t="s">
        <v>363</v>
      </c>
      <c r="E151" s="13"/>
      <c r="F151" s="4">
        <f t="shared" si="36"/>
        <v>0</v>
      </c>
      <c r="G151" s="6"/>
      <c r="H151" s="7"/>
      <c r="I151" s="7"/>
      <c r="J151" s="7"/>
      <c r="K151" s="4">
        <f t="shared" si="37"/>
        <v>0</v>
      </c>
      <c r="L151" s="4">
        <f>50000-50000</f>
        <v>0</v>
      </c>
      <c r="M151" s="122"/>
      <c r="N151" s="6"/>
      <c r="O151" s="7"/>
      <c r="P151" s="7">
        <f t="shared" si="38"/>
        <v>0</v>
      </c>
      <c r="Q151" s="8">
        <f t="shared" si="35"/>
        <v>0</v>
      </c>
      <c r="T151" s="57"/>
    </row>
    <row r="152" spans="1:20" s="19" customFormat="1" ht="39" customHeight="1" x14ac:dyDescent="0.2">
      <c r="A152" s="40" t="s">
        <v>309</v>
      </c>
      <c r="B152" s="45"/>
      <c r="C152" s="40" t="s">
        <v>85</v>
      </c>
      <c r="D152" s="89" t="s">
        <v>388</v>
      </c>
      <c r="E152" s="13"/>
      <c r="F152" s="4">
        <f t="shared" si="36"/>
        <v>0</v>
      </c>
      <c r="G152" s="6"/>
      <c r="H152" s="7"/>
      <c r="I152" s="7"/>
      <c r="J152" s="7"/>
      <c r="K152" s="4">
        <f t="shared" si="37"/>
        <v>9399991</v>
      </c>
      <c r="L152" s="4">
        <f>330000+1300000+3500000+4000000+300000+221127+161834+126000+153000+135157+7873+190000+10000+20000-3000000+195000-10000+1760000</f>
        <v>9399991</v>
      </c>
      <c r="M152" s="122"/>
      <c r="N152" s="6"/>
      <c r="O152" s="7"/>
      <c r="P152" s="7">
        <f t="shared" si="38"/>
        <v>9399991</v>
      </c>
      <c r="Q152" s="8">
        <f t="shared" si="35"/>
        <v>9399991</v>
      </c>
      <c r="T152" s="57"/>
    </row>
    <row r="153" spans="1:20" s="19" customFormat="1" ht="33.6" customHeight="1" x14ac:dyDescent="0.2">
      <c r="A153" s="40" t="s">
        <v>330</v>
      </c>
      <c r="B153" s="45"/>
      <c r="C153" s="40" t="s">
        <v>85</v>
      </c>
      <c r="D153" s="89" t="s">
        <v>356</v>
      </c>
      <c r="E153" s="13"/>
      <c r="F153" s="4">
        <f t="shared" si="36"/>
        <v>0</v>
      </c>
      <c r="G153" s="6"/>
      <c r="H153" s="7"/>
      <c r="I153" s="7"/>
      <c r="J153" s="7"/>
      <c r="K153" s="4">
        <f t="shared" si="37"/>
        <v>230000</v>
      </c>
      <c r="L153" s="4">
        <f>30000+100000+100000</f>
        <v>230000</v>
      </c>
      <c r="M153" s="122"/>
      <c r="N153" s="6"/>
      <c r="O153" s="7"/>
      <c r="P153" s="7">
        <f t="shared" si="38"/>
        <v>230000</v>
      </c>
      <c r="Q153" s="8">
        <f t="shared" si="35"/>
        <v>230000</v>
      </c>
      <c r="T153" s="57"/>
    </row>
    <row r="154" spans="1:20" s="19" customFormat="1" ht="31.9" customHeight="1" x14ac:dyDescent="0.2">
      <c r="A154" s="40" t="s">
        <v>233</v>
      </c>
      <c r="B154" s="45">
        <v>4016430</v>
      </c>
      <c r="C154" s="40" t="s">
        <v>85</v>
      </c>
      <c r="D154" s="92" t="s">
        <v>234</v>
      </c>
      <c r="E154" s="13" t="s">
        <v>15</v>
      </c>
      <c r="F154" s="4">
        <f t="shared" si="36"/>
        <v>141000</v>
      </c>
      <c r="G154" s="4"/>
      <c r="H154" s="7"/>
      <c r="I154" s="7"/>
      <c r="J154" s="7">
        <f>40000+101000</f>
        <v>141000</v>
      </c>
      <c r="K154" s="4">
        <f>M154+P154</f>
        <v>10000</v>
      </c>
      <c r="L154" s="4">
        <v>10000</v>
      </c>
      <c r="M154" s="122"/>
      <c r="N154" s="6"/>
      <c r="O154" s="7"/>
      <c r="P154" s="7">
        <v>10000</v>
      </c>
      <c r="Q154" s="8">
        <f>F154+K154</f>
        <v>151000</v>
      </c>
      <c r="T154" s="57"/>
    </row>
    <row r="155" spans="1:20" s="19" customFormat="1" ht="48.6" customHeight="1" x14ac:dyDescent="0.2">
      <c r="A155" s="40" t="s">
        <v>318</v>
      </c>
      <c r="B155" s="45"/>
      <c r="C155" s="40" t="s">
        <v>247</v>
      </c>
      <c r="D155" s="89" t="s">
        <v>319</v>
      </c>
      <c r="E155" s="13"/>
      <c r="F155" s="4">
        <f t="shared" si="36"/>
        <v>0</v>
      </c>
      <c r="G155" s="6"/>
      <c r="H155" s="7"/>
      <c r="I155" s="7"/>
      <c r="J155" s="7"/>
      <c r="K155" s="4">
        <f>M155+P155</f>
        <v>2135000</v>
      </c>
      <c r="L155" s="4">
        <f>335000+1000000+800000</f>
        <v>2135000</v>
      </c>
      <c r="M155" s="122"/>
      <c r="N155" s="6"/>
      <c r="O155" s="7"/>
      <c r="P155" s="7">
        <f>L155</f>
        <v>2135000</v>
      </c>
      <c r="Q155" s="8">
        <f>F155+K155</f>
        <v>2135000</v>
      </c>
      <c r="T155" s="57"/>
    </row>
    <row r="156" spans="1:20" s="19" customFormat="1" ht="48.6" customHeight="1" x14ac:dyDescent="0.2">
      <c r="A156" s="40" t="s">
        <v>406</v>
      </c>
      <c r="B156" s="45"/>
      <c r="C156" s="40" t="s">
        <v>247</v>
      </c>
      <c r="D156" s="89" t="s">
        <v>407</v>
      </c>
      <c r="E156" s="13"/>
      <c r="F156" s="4">
        <f>G156</f>
        <v>0</v>
      </c>
      <c r="G156" s="6"/>
      <c r="H156" s="7"/>
      <c r="I156" s="7"/>
      <c r="J156" s="7"/>
      <c r="K156" s="4">
        <f>M156+P156</f>
        <v>705770</v>
      </c>
      <c r="L156" s="4">
        <f>705500+270</f>
        <v>705770</v>
      </c>
      <c r="M156" s="122"/>
      <c r="N156" s="6"/>
      <c r="O156" s="7"/>
      <c r="P156" s="7">
        <f>L156</f>
        <v>705770</v>
      </c>
      <c r="Q156" s="8">
        <f>F156+K156</f>
        <v>705770</v>
      </c>
      <c r="T156" s="57"/>
    </row>
    <row r="157" spans="1:20" s="19" customFormat="1" ht="48.6" customHeight="1" x14ac:dyDescent="0.2">
      <c r="A157" s="40" t="s">
        <v>321</v>
      </c>
      <c r="B157" s="45"/>
      <c r="C157" s="40" t="s">
        <v>247</v>
      </c>
      <c r="D157" s="89" t="s">
        <v>322</v>
      </c>
      <c r="E157" s="13"/>
      <c r="F157" s="4">
        <f t="shared" si="36"/>
        <v>0</v>
      </c>
      <c r="G157" s="6"/>
      <c r="H157" s="7"/>
      <c r="I157" s="7"/>
      <c r="J157" s="7"/>
      <c r="K157" s="110">
        <f>M157+P157</f>
        <v>7958015.6399999997</v>
      </c>
      <c r="L157" s="110">
        <f>2100000+5687392.64+170623</f>
        <v>7958015.6399999997</v>
      </c>
      <c r="M157" s="122"/>
      <c r="N157" s="113"/>
      <c r="O157" s="112"/>
      <c r="P157" s="112">
        <f>L157</f>
        <v>7958015.6399999997</v>
      </c>
      <c r="Q157" s="114">
        <f>F157+K157</f>
        <v>7958015.6399999997</v>
      </c>
      <c r="T157" s="57"/>
    </row>
    <row r="158" spans="1:20" s="19" customFormat="1" ht="49.15" customHeight="1" x14ac:dyDescent="0.2">
      <c r="A158" s="40" t="s">
        <v>317</v>
      </c>
      <c r="B158" s="45">
        <v>4017440</v>
      </c>
      <c r="C158" s="40" t="s">
        <v>301</v>
      </c>
      <c r="D158" s="103" t="s">
        <v>316</v>
      </c>
      <c r="E158" s="13"/>
      <c r="F158" s="110">
        <f t="shared" si="36"/>
        <v>13906066.619999999</v>
      </c>
      <c r="G158" s="110">
        <f>11324400+180000+154000-304000+304000-110000+110000+2136300+111366.62</f>
        <v>13906066.619999999</v>
      </c>
      <c r="H158" s="7"/>
      <c r="I158" s="7"/>
      <c r="J158" s="7"/>
      <c r="K158" s="110">
        <f t="shared" si="37"/>
        <v>4784.63</v>
      </c>
      <c r="L158" s="4"/>
      <c r="M158" s="122">
        <f>3625+1159.63</f>
        <v>4784.63</v>
      </c>
      <c r="N158" s="6"/>
      <c r="O158" s="7"/>
      <c r="P158" s="7"/>
      <c r="Q158" s="114">
        <f t="shared" si="35"/>
        <v>13910851.25</v>
      </c>
      <c r="T158" s="57"/>
    </row>
    <row r="159" spans="1:20" s="19" customFormat="1" ht="31.9" customHeight="1" x14ac:dyDescent="0.2">
      <c r="A159" s="40" t="s">
        <v>296</v>
      </c>
      <c r="B159" s="45"/>
      <c r="C159" s="40" t="s">
        <v>247</v>
      </c>
      <c r="D159" s="92" t="s">
        <v>357</v>
      </c>
      <c r="E159" s="13"/>
      <c r="F159" s="4">
        <f t="shared" ref="F159:F172" si="39">G159+J159</f>
        <v>0</v>
      </c>
      <c r="G159" s="4"/>
      <c r="H159" s="7"/>
      <c r="I159" s="7"/>
      <c r="J159" s="7"/>
      <c r="K159" s="4">
        <f t="shared" si="37"/>
        <v>2035000</v>
      </c>
      <c r="L159" s="4">
        <f>2000000+35000</f>
        <v>2035000</v>
      </c>
      <c r="M159" s="122"/>
      <c r="N159" s="6"/>
      <c r="O159" s="7"/>
      <c r="P159" s="7">
        <f>2000000+35000</f>
        <v>2035000</v>
      </c>
      <c r="Q159" s="8">
        <f t="shared" si="35"/>
        <v>2035000</v>
      </c>
      <c r="T159" s="57"/>
    </row>
    <row r="160" spans="1:20" s="19" customFormat="1" ht="48" customHeight="1" x14ac:dyDescent="0.2">
      <c r="A160" s="40" t="s">
        <v>235</v>
      </c>
      <c r="B160" s="45">
        <v>4017810</v>
      </c>
      <c r="C160" s="40" t="s">
        <v>73</v>
      </c>
      <c r="D160" s="92" t="s">
        <v>280</v>
      </c>
      <c r="E160" s="13" t="s">
        <v>39</v>
      </c>
      <c r="F160" s="4">
        <f t="shared" si="39"/>
        <v>67250</v>
      </c>
      <c r="G160" s="6">
        <f>130000-15000-20000-24750-3000</f>
        <v>67250</v>
      </c>
      <c r="H160" s="7"/>
      <c r="I160" s="7"/>
      <c r="J160" s="7"/>
      <c r="K160" s="4">
        <f t="shared" si="37"/>
        <v>47750</v>
      </c>
      <c r="L160" s="4">
        <f>20000+24750+3000</f>
        <v>47750</v>
      </c>
      <c r="M160" s="122"/>
      <c r="N160" s="6"/>
      <c r="O160" s="7"/>
      <c r="P160" s="7">
        <f>L160</f>
        <v>47750</v>
      </c>
      <c r="Q160" s="8">
        <f t="shared" si="35"/>
        <v>115000</v>
      </c>
      <c r="T160" s="57"/>
    </row>
    <row r="161" spans="1:20" s="19" customFormat="1" ht="19.899999999999999" customHeight="1" x14ac:dyDescent="0.2">
      <c r="A161" s="40" t="s">
        <v>236</v>
      </c>
      <c r="B161" s="45">
        <v>4017840</v>
      </c>
      <c r="C161" s="40" t="s">
        <v>73</v>
      </c>
      <c r="D161" s="92" t="s">
        <v>237</v>
      </c>
      <c r="E161" s="13" t="s">
        <v>19</v>
      </c>
      <c r="F161" s="4">
        <f t="shared" si="39"/>
        <v>100000</v>
      </c>
      <c r="G161" s="6">
        <v>100000</v>
      </c>
      <c r="H161" s="7"/>
      <c r="I161" s="7"/>
      <c r="J161" s="7"/>
      <c r="K161" s="4">
        <f t="shared" si="37"/>
        <v>0</v>
      </c>
      <c r="L161" s="4"/>
      <c r="M161" s="122"/>
      <c r="N161" s="6"/>
      <c r="O161" s="7"/>
      <c r="P161" s="7"/>
      <c r="Q161" s="8">
        <f t="shared" si="35"/>
        <v>100000</v>
      </c>
      <c r="T161" s="57"/>
    </row>
    <row r="162" spans="1:20" s="19" customFormat="1" ht="31.9" customHeight="1" x14ac:dyDescent="0.2">
      <c r="A162" s="40" t="s">
        <v>245</v>
      </c>
      <c r="B162" s="45">
        <v>4019110</v>
      </c>
      <c r="C162" s="40" t="s">
        <v>238</v>
      </c>
      <c r="D162" s="92" t="s">
        <v>246</v>
      </c>
      <c r="E162" s="13" t="s">
        <v>58</v>
      </c>
      <c r="F162" s="4">
        <f t="shared" si="39"/>
        <v>0</v>
      </c>
      <c r="G162" s="6"/>
      <c r="H162" s="7"/>
      <c r="I162" s="7"/>
      <c r="J162" s="7"/>
      <c r="K162" s="110">
        <f t="shared" si="37"/>
        <v>580878.47</v>
      </c>
      <c r="L162" s="4"/>
      <c r="M162" s="122">
        <f>448800+124985+7093.47</f>
        <v>580878.47</v>
      </c>
      <c r="N162" s="6"/>
      <c r="O162" s="7"/>
      <c r="P162" s="25"/>
      <c r="Q162" s="114">
        <f t="shared" si="35"/>
        <v>580878.47</v>
      </c>
      <c r="T162" s="57"/>
    </row>
    <row r="163" spans="1:20" s="19" customFormat="1" ht="45.75" customHeight="1" x14ac:dyDescent="0.2">
      <c r="A163" s="40" t="s">
        <v>402</v>
      </c>
      <c r="B163" s="45"/>
      <c r="C163" s="40" t="s">
        <v>343</v>
      </c>
      <c r="D163" s="92" t="s">
        <v>403</v>
      </c>
      <c r="E163" s="13"/>
      <c r="F163" s="4">
        <f t="shared" si="39"/>
        <v>0</v>
      </c>
      <c r="G163" s="6"/>
      <c r="H163" s="7"/>
      <c r="I163" s="7"/>
      <c r="J163" s="7"/>
      <c r="K163" s="4">
        <f t="shared" si="37"/>
        <v>9952770</v>
      </c>
      <c r="L163" s="4">
        <f>1070000-74723+8957493</f>
        <v>9952770</v>
      </c>
      <c r="M163" s="122"/>
      <c r="N163" s="6"/>
      <c r="O163" s="7"/>
      <c r="P163" s="25">
        <f>L163</f>
        <v>9952770</v>
      </c>
      <c r="Q163" s="8">
        <f t="shared" si="35"/>
        <v>9952770</v>
      </c>
      <c r="T163" s="57"/>
    </row>
    <row r="164" spans="1:20" s="68" customFormat="1" ht="20.25" customHeight="1" x14ac:dyDescent="0.2">
      <c r="A164" s="38" t="s">
        <v>239</v>
      </c>
      <c r="B164" s="53">
        <v>7500000</v>
      </c>
      <c r="C164" s="66"/>
      <c r="D164" s="94" t="s">
        <v>5</v>
      </c>
      <c r="E164" s="67" t="s">
        <v>5</v>
      </c>
      <c r="F164" s="120">
        <f>F165</f>
        <v>12168111</v>
      </c>
      <c r="G164" s="120">
        <f t="shared" ref="G164:P164" si="40">G165</f>
        <v>7999975</v>
      </c>
      <c r="H164" s="3">
        <f t="shared" si="40"/>
        <v>5875300</v>
      </c>
      <c r="I164" s="3">
        <f t="shared" si="40"/>
        <v>87000</v>
      </c>
      <c r="J164" s="3">
        <f t="shared" si="40"/>
        <v>3000300</v>
      </c>
      <c r="K164" s="115">
        <f t="shared" si="40"/>
        <v>135000</v>
      </c>
      <c r="L164" s="3">
        <f t="shared" si="40"/>
        <v>135000</v>
      </c>
      <c r="M164" s="3">
        <f t="shared" si="40"/>
        <v>0</v>
      </c>
      <c r="N164" s="3">
        <f t="shared" si="40"/>
        <v>0</v>
      </c>
      <c r="O164" s="3">
        <f t="shared" si="40"/>
        <v>0</v>
      </c>
      <c r="P164" s="3">
        <f t="shared" si="40"/>
        <v>135000</v>
      </c>
      <c r="Q164" s="116">
        <f t="shared" si="35"/>
        <v>12303111</v>
      </c>
      <c r="R164" s="28"/>
      <c r="T164" s="62"/>
    </row>
    <row r="165" spans="1:20" s="68" customFormat="1" ht="18.600000000000001" customHeight="1" x14ac:dyDescent="0.2">
      <c r="A165" s="39" t="s">
        <v>240</v>
      </c>
      <c r="B165" s="54">
        <f>B164</f>
        <v>7500000</v>
      </c>
      <c r="C165" s="69"/>
      <c r="D165" s="95" t="str">
        <f>D164</f>
        <v>Фінансове управління міської ради</v>
      </c>
      <c r="E165" s="70"/>
      <c r="F165" s="124">
        <f>F166+F167+F172+F170+F171+F169+F168</f>
        <v>12168111</v>
      </c>
      <c r="G165" s="124">
        <f>G166+G167+G170+G172+G171+G169</f>
        <v>7999975</v>
      </c>
      <c r="H165" s="4">
        <f t="shared" ref="H165:P165" si="41">H166+H167+H170+H172+H171+H169</f>
        <v>5875300</v>
      </c>
      <c r="I165" s="4">
        <f t="shared" si="41"/>
        <v>87000</v>
      </c>
      <c r="J165" s="4">
        <f>J166+J167+J170+J172+J171+J169+J168</f>
        <v>3000300</v>
      </c>
      <c r="K165" s="110">
        <f t="shared" si="41"/>
        <v>135000</v>
      </c>
      <c r="L165" s="4">
        <f t="shared" si="41"/>
        <v>135000</v>
      </c>
      <c r="M165" s="4">
        <f t="shared" si="41"/>
        <v>0</v>
      </c>
      <c r="N165" s="4">
        <f t="shared" si="41"/>
        <v>0</v>
      </c>
      <c r="O165" s="4">
        <f t="shared" si="41"/>
        <v>0</v>
      </c>
      <c r="P165" s="4">
        <f t="shared" si="41"/>
        <v>135000</v>
      </c>
      <c r="Q165" s="114">
        <f t="shared" si="35"/>
        <v>12303111</v>
      </c>
      <c r="R165" s="28"/>
      <c r="T165" s="62"/>
    </row>
    <row r="166" spans="1:20" s="19" customFormat="1" ht="51.75" customHeight="1" x14ac:dyDescent="0.2">
      <c r="A166" s="40" t="s">
        <v>241</v>
      </c>
      <c r="B166" s="45">
        <v>7510180</v>
      </c>
      <c r="C166" s="40" t="s">
        <v>63</v>
      </c>
      <c r="D166" s="88" t="s">
        <v>358</v>
      </c>
      <c r="E166" s="13" t="s">
        <v>2</v>
      </c>
      <c r="F166" s="4">
        <f t="shared" si="39"/>
        <v>6321300</v>
      </c>
      <c r="G166" s="6">
        <v>6321300</v>
      </c>
      <c r="H166" s="7">
        <v>5875300</v>
      </c>
      <c r="I166" s="7">
        <v>87000</v>
      </c>
      <c r="J166" s="7"/>
      <c r="K166" s="4">
        <f t="shared" ref="K166:K172" si="42">M166+P166</f>
        <v>135000</v>
      </c>
      <c r="L166" s="4">
        <v>135000</v>
      </c>
      <c r="M166" s="7"/>
      <c r="N166" s="6"/>
      <c r="O166" s="7"/>
      <c r="P166" s="25">
        <v>135000</v>
      </c>
      <c r="Q166" s="8">
        <f t="shared" si="35"/>
        <v>6456300</v>
      </c>
      <c r="T166" s="57"/>
    </row>
    <row r="167" spans="1:20" s="19" customFormat="1" ht="22.5" customHeight="1" x14ac:dyDescent="0.2">
      <c r="A167" s="40" t="s">
        <v>295</v>
      </c>
      <c r="B167" s="45"/>
      <c r="C167" s="40" t="s">
        <v>74</v>
      </c>
      <c r="D167" s="88" t="s">
        <v>171</v>
      </c>
      <c r="E167" s="13"/>
      <c r="F167" s="110">
        <f t="shared" si="39"/>
        <v>3867</v>
      </c>
      <c r="G167" s="113">
        <f>5000-1133</f>
        <v>3867</v>
      </c>
      <c r="H167" s="7"/>
      <c r="I167" s="7"/>
      <c r="J167" s="7"/>
      <c r="K167" s="4">
        <f t="shared" si="42"/>
        <v>0</v>
      </c>
      <c r="L167" s="4"/>
      <c r="M167" s="7"/>
      <c r="N167" s="6"/>
      <c r="O167" s="7"/>
      <c r="P167" s="7"/>
      <c r="Q167" s="8">
        <f t="shared" si="35"/>
        <v>3867</v>
      </c>
      <c r="T167" s="57"/>
    </row>
    <row r="168" spans="1:20" s="19" customFormat="1" ht="32.25" customHeight="1" x14ac:dyDescent="0.2">
      <c r="A168" s="40" t="s">
        <v>412</v>
      </c>
      <c r="B168" s="45"/>
      <c r="C168" s="40" t="s">
        <v>327</v>
      </c>
      <c r="D168" s="88" t="s">
        <v>413</v>
      </c>
      <c r="E168" s="13"/>
      <c r="F168" s="110">
        <f>G168+J168</f>
        <v>300</v>
      </c>
      <c r="G168" s="113"/>
      <c r="H168" s="7"/>
      <c r="I168" s="7"/>
      <c r="J168" s="7">
        <v>300</v>
      </c>
      <c r="K168" s="4"/>
      <c r="L168" s="4"/>
      <c r="M168" s="7"/>
      <c r="N168" s="6"/>
      <c r="O168" s="7"/>
      <c r="P168" s="7"/>
      <c r="Q168" s="8"/>
      <c r="T168" s="57"/>
    </row>
    <row r="169" spans="1:20" s="19" customFormat="1" ht="32.25" customHeight="1" x14ac:dyDescent="0.2">
      <c r="A169" s="40" t="s">
        <v>376</v>
      </c>
      <c r="B169" s="45"/>
      <c r="C169" s="40" t="s">
        <v>377</v>
      </c>
      <c r="D169" s="88" t="s">
        <v>378</v>
      </c>
      <c r="E169" s="13"/>
      <c r="F169" s="4">
        <f t="shared" si="39"/>
        <v>110000</v>
      </c>
      <c r="G169" s="6">
        <f>110000</f>
        <v>110000</v>
      </c>
      <c r="H169" s="7"/>
      <c r="I169" s="7"/>
      <c r="J169" s="7"/>
      <c r="K169" s="4">
        <f t="shared" si="42"/>
        <v>0</v>
      </c>
      <c r="L169" s="4"/>
      <c r="M169" s="7"/>
      <c r="N169" s="6"/>
      <c r="O169" s="7"/>
      <c r="P169" s="7"/>
      <c r="Q169" s="8">
        <f t="shared" si="35"/>
        <v>110000</v>
      </c>
      <c r="T169" s="57"/>
    </row>
    <row r="170" spans="1:20" s="19" customFormat="1" ht="24" customHeight="1" x14ac:dyDescent="0.2">
      <c r="A170" s="40" t="s">
        <v>242</v>
      </c>
      <c r="B170" s="45">
        <v>7618010</v>
      </c>
      <c r="C170" s="40" t="s">
        <v>74</v>
      </c>
      <c r="D170" s="88" t="s">
        <v>106</v>
      </c>
      <c r="E170" s="13"/>
      <c r="F170" s="110">
        <f>2790400+300000+500000+2000000+500000+2809300-635000+3440000+150015.08+85000-855000-10000-555000-2154864-50000-35000+304000-100000-1070000-38648.46-300000-190000-295000-60000-515000-304000-20000-190000-500000-37000-500000-195000+110000-175000-110000-328500-80000-1950000-111366.62-456500</f>
        <v>1167836</v>
      </c>
      <c r="G170" s="6"/>
      <c r="H170" s="7"/>
      <c r="I170" s="7"/>
      <c r="J170" s="7"/>
      <c r="K170" s="4">
        <f t="shared" si="42"/>
        <v>0</v>
      </c>
      <c r="L170" s="4"/>
      <c r="M170" s="7"/>
      <c r="N170" s="6"/>
      <c r="O170" s="7"/>
      <c r="P170" s="7"/>
      <c r="Q170" s="114">
        <f>F170+K170</f>
        <v>1167836</v>
      </c>
      <c r="T170" s="57"/>
    </row>
    <row r="171" spans="1:20" s="19" customFormat="1" ht="22.5" customHeight="1" x14ac:dyDescent="0.2">
      <c r="A171" s="40" t="s">
        <v>333</v>
      </c>
      <c r="B171" s="45"/>
      <c r="C171" s="40"/>
      <c r="D171" s="88" t="s">
        <v>334</v>
      </c>
      <c r="E171" s="13"/>
      <c r="F171" s="4">
        <f t="shared" si="39"/>
        <v>4564808</v>
      </c>
      <c r="G171" s="6">
        <f>500000+150000+152000+762808</f>
        <v>1564808</v>
      </c>
      <c r="H171" s="7"/>
      <c r="I171" s="7"/>
      <c r="J171" s="7">
        <v>3000000</v>
      </c>
      <c r="K171" s="4">
        <f t="shared" si="42"/>
        <v>0</v>
      </c>
      <c r="L171" s="4"/>
      <c r="M171" s="7"/>
      <c r="N171" s="6"/>
      <c r="O171" s="7"/>
      <c r="P171" s="7"/>
      <c r="Q171" s="8">
        <f t="shared" si="35"/>
        <v>4564808</v>
      </c>
      <c r="T171" s="57"/>
    </row>
    <row r="172" spans="1:20" s="19" customFormat="1" ht="43.5" customHeight="1" x14ac:dyDescent="0.2">
      <c r="A172" s="40" t="s">
        <v>328</v>
      </c>
      <c r="B172" s="45">
        <v>7618370</v>
      </c>
      <c r="C172" s="40" t="s">
        <v>327</v>
      </c>
      <c r="D172" s="88" t="s">
        <v>329</v>
      </c>
      <c r="E172" s="13"/>
      <c r="F172" s="4">
        <f t="shared" si="39"/>
        <v>0</v>
      </c>
      <c r="G172" s="6"/>
      <c r="H172" s="7"/>
      <c r="I172" s="7"/>
      <c r="J172" s="7"/>
      <c r="K172" s="4">
        <f t="shared" si="42"/>
        <v>0</v>
      </c>
      <c r="L172" s="4"/>
      <c r="M172" s="7"/>
      <c r="N172" s="6"/>
      <c r="O172" s="7"/>
      <c r="P172" s="7"/>
      <c r="Q172" s="8">
        <f t="shared" si="35"/>
        <v>0</v>
      </c>
      <c r="T172" s="57"/>
    </row>
    <row r="173" spans="1:20" s="31" customFormat="1" ht="51" customHeight="1" x14ac:dyDescent="0.2">
      <c r="A173" s="55"/>
      <c r="B173" s="55"/>
      <c r="C173" s="55"/>
      <c r="D173" s="104" t="s">
        <v>243</v>
      </c>
      <c r="E173" s="29" t="s">
        <v>13</v>
      </c>
      <c r="F173" s="111">
        <f t="shared" ref="F173:P173" si="43">F11+F54+F116+F127+F136+F164+F77</f>
        <v>617242895.15999997</v>
      </c>
      <c r="G173" s="111">
        <f t="shared" si="43"/>
        <v>603955792.15999997</v>
      </c>
      <c r="H173" s="127">
        <f t="shared" si="43"/>
        <v>248516225.34999999</v>
      </c>
      <c r="I173" s="30">
        <f t="shared" si="43"/>
        <v>37256670</v>
      </c>
      <c r="J173" s="30">
        <f t="shared" si="43"/>
        <v>12119267</v>
      </c>
      <c r="K173" s="111">
        <f t="shared" si="43"/>
        <v>75292975.339999989</v>
      </c>
      <c r="L173" s="111">
        <f t="shared" si="43"/>
        <v>64719764.829999998</v>
      </c>
      <c r="M173" s="111">
        <f t="shared" si="43"/>
        <v>10493210.51</v>
      </c>
      <c r="N173" s="30">
        <f t="shared" si="43"/>
        <v>436280</v>
      </c>
      <c r="O173" s="30">
        <f t="shared" si="43"/>
        <v>172470</v>
      </c>
      <c r="P173" s="111">
        <f t="shared" si="43"/>
        <v>64799764.829999998</v>
      </c>
      <c r="Q173" s="117">
        <f t="shared" si="35"/>
        <v>692535870.5</v>
      </c>
      <c r="S173" s="32"/>
      <c r="T173" s="33"/>
    </row>
    <row r="174" spans="1:20" s="28" customFormat="1" ht="57" customHeight="1" x14ac:dyDescent="0.2">
      <c r="A174" s="128" t="s">
        <v>395</v>
      </c>
      <c r="B174" s="128"/>
      <c r="C174" s="128"/>
      <c r="D174" s="128"/>
      <c r="E174" s="128"/>
      <c r="F174" s="128"/>
      <c r="G174" s="128"/>
      <c r="H174" s="128"/>
      <c r="I174" s="128"/>
      <c r="J174" s="128"/>
      <c r="K174" s="128"/>
      <c r="L174" s="128"/>
      <c r="M174" s="128"/>
      <c r="N174" s="128"/>
      <c r="O174" s="128"/>
      <c r="P174" s="128"/>
      <c r="Q174" s="128"/>
      <c r="T174" s="34"/>
    </row>
    <row r="175" spans="1:20" s="76" customFormat="1" ht="21.75" customHeight="1" x14ac:dyDescent="0.2">
      <c r="A175" s="128"/>
      <c r="B175" s="128"/>
      <c r="C175" s="128"/>
      <c r="D175" s="128"/>
      <c r="E175" s="128"/>
      <c r="F175" s="128"/>
      <c r="G175" s="128"/>
      <c r="H175" s="128"/>
      <c r="I175" s="128"/>
      <c r="J175" s="128"/>
      <c r="K175" s="128"/>
      <c r="L175" s="128"/>
      <c r="M175" s="128"/>
      <c r="N175" s="128"/>
      <c r="O175" s="128"/>
      <c r="P175" s="128"/>
      <c r="Q175" s="128"/>
      <c r="T175" s="77"/>
    </row>
    <row r="176" spans="1:20" ht="24.75" customHeight="1" x14ac:dyDescent="0.2">
      <c r="A176" s="78"/>
      <c r="B176" s="78"/>
      <c r="C176" s="78"/>
      <c r="D176" s="35"/>
      <c r="E176" s="79"/>
      <c r="F176" s="80"/>
      <c r="G176" s="80"/>
      <c r="H176" s="80"/>
      <c r="I176" s="80"/>
      <c r="J176" s="80"/>
      <c r="K176" s="80"/>
      <c r="L176" s="80"/>
      <c r="M176" s="80"/>
      <c r="N176" s="80"/>
      <c r="O176" s="80"/>
      <c r="P176" s="80"/>
      <c r="Q176" s="80"/>
    </row>
    <row r="177" spans="1:17" ht="24.75" customHeight="1" x14ac:dyDescent="0.2">
      <c r="A177" s="78"/>
      <c r="B177" s="78"/>
      <c r="C177" s="78"/>
      <c r="D177" s="35"/>
      <c r="E177" s="79"/>
      <c r="F177" s="80"/>
      <c r="G177" s="80"/>
      <c r="H177" s="80"/>
      <c r="I177" s="80"/>
      <c r="J177" s="80"/>
      <c r="K177" s="80"/>
      <c r="L177" s="80"/>
      <c r="M177" s="80"/>
      <c r="N177" s="80"/>
      <c r="O177" s="80"/>
      <c r="P177" s="80"/>
      <c r="Q177" s="80"/>
    </row>
    <row r="178" spans="1:17" ht="24.75" customHeight="1" x14ac:dyDescent="0.2">
      <c r="A178" s="78"/>
      <c r="B178" s="78"/>
      <c r="C178" s="78"/>
      <c r="D178" s="35"/>
      <c r="E178" s="79"/>
      <c r="F178" s="80"/>
      <c r="G178" s="80"/>
      <c r="H178" s="80"/>
      <c r="I178" s="80"/>
      <c r="J178" s="80"/>
      <c r="K178" s="80"/>
      <c r="L178" s="80"/>
      <c r="M178" s="80"/>
      <c r="N178" s="80"/>
      <c r="O178" s="80"/>
      <c r="P178" s="80"/>
      <c r="Q178" s="80"/>
    </row>
  </sheetData>
  <mergeCells count="28">
    <mergeCell ref="P1:Q1"/>
    <mergeCell ref="O2:Q2"/>
    <mergeCell ref="A2:N2"/>
    <mergeCell ref="F6:I6"/>
    <mergeCell ref="N4:Q4"/>
    <mergeCell ref="O3:Q3"/>
    <mergeCell ref="K6:P6"/>
    <mergeCell ref="B6:B9"/>
    <mergeCell ref="H7:I7"/>
    <mergeCell ref="F7:F9"/>
    <mergeCell ref="K7:K9"/>
    <mergeCell ref="P7:P9"/>
    <mergeCell ref="Q6:Q9"/>
    <mergeCell ref="D3:N3"/>
    <mergeCell ref="D6:D9"/>
    <mergeCell ref="N7:O7"/>
    <mergeCell ref="A174:Q175"/>
    <mergeCell ref="H8:H9"/>
    <mergeCell ref="I8:I9"/>
    <mergeCell ref="N8:N9"/>
    <mergeCell ref="O8:O9"/>
    <mergeCell ref="A6:A9"/>
    <mergeCell ref="G7:G9"/>
    <mergeCell ref="C6:C9"/>
    <mergeCell ref="J7:J9"/>
    <mergeCell ref="E6:E9"/>
    <mergeCell ref="L7:L9"/>
    <mergeCell ref="M7:M9"/>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9" max="16" man="1"/>
    <brk id="84" max="16" man="1"/>
    <brk id="103" max="16" man="1"/>
    <brk id="122" max="16383" man="1"/>
    <brk id="1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VNMR-65-02</cp:lastModifiedBy>
  <cp:lastPrinted>2019-08-27T11:24:13Z</cp:lastPrinted>
  <dcterms:created xsi:type="dcterms:W3CDTF">2002-10-09T16:25:59Z</dcterms:created>
  <dcterms:modified xsi:type="dcterms:W3CDTF">2019-08-27T13:51:41Z</dcterms:modified>
</cp:coreProperties>
</file>